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drawings/drawing8.xml" ContentType="application/vnd.openxmlformats-officedocument.drawing+xml"/>
  <Override PartName="/xl/charts/chart6.xml" ContentType="application/vnd.openxmlformats-officedocument.drawingml.chart+xml"/>
  <Override PartName="/xl/drawings/drawing9.xml" ContentType="application/vnd.openxmlformats-officedocument.drawing+xml"/>
  <Override PartName="/xl/charts/chart7.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codeName="DieseArbeitsmappe" defaultThemeVersion="166925"/>
  <mc:AlternateContent xmlns:mc="http://schemas.openxmlformats.org/markup-compatibility/2006">
    <mc:Choice Requires="x15">
      <x15ac:absPath xmlns:x15ac="http://schemas.microsoft.com/office/spreadsheetml/2010/11/ac" url="D:\0_PSE_Pro\1_PAkt\2403_APV_Mauritius_Sunref\40_ArbErgebnis\42_Bericht\LCOE\"/>
    </mc:Choice>
  </mc:AlternateContent>
  <xr:revisionPtr revIDLastSave="0" documentId="13_ncr:1_{7F29CF15-BBED-4742-A1C8-521D97B5CFBD}" xr6:coauthVersionLast="47" xr6:coauthVersionMax="47" xr10:uidLastSave="{00000000-0000-0000-0000-000000000000}"/>
  <bookViews>
    <workbookView xWindow="-108" yWindow="-108" windowWidth="23256" windowHeight="14016" activeTab="1" xr2:uid="{0E2C348D-9E52-764D-BF24-994F6651DF5F}"/>
  </bookViews>
  <sheets>
    <sheet name="Info" sheetId="8" r:id="rId1"/>
    <sheet name="Inputs&amp;Results" sheetId="1" r:id="rId2"/>
    <sheet name="Payback" sheetId="7" r:id="rId3"/>
    <sheet name="WACC" sheetId="10" r:id="rId4"/>
    <sheet name="LoanCalculation" sheetId="11" r:id="rId5"/>
    <sheet name="Calculations" sheetId="2" r:id="rId6"/>
    <sheet name="SensitivityLCOE" sheetId="15" state="hidden" r:id="rId7"/>
    <sheet name="SensitivitySystemCost" sheetId="12" state="hidden" r:id="rId8"/>
    <sheet name="SensitivityEnergySalesPrice" sheetId="16" state="hidden" r:id="rId9"/>
    <sheet name="SensitivitySpecificYield" sheetId="13" state="hidden" r:id="rId10"/>
    <sheet name="SensitivityDebtInterest" sheetId="14" state="hidden" r:id="rId11"/>
    <sheet name="Copia " sheetId="3" state="hidden" r:id="rId12"/>
  </sheets>
  <definedNames>
    <definedName name="Anlagenleistung">#REF!</definedName>
    <definedName name="Anlagenpreis">#REF!</definedName>
    <definedName name="AnlagenpreisPV">#REF!</definedName>
    <definedName name="Auszahlung1">#REF!</definedName>
    <definedName name="BatteriespeicherJN">#REF!</definedName>
    <definedName name="Beginning_Balance">-FV(Interest_Rate/12,Payment_Number-1,-Monthly_Payment,Loan_Amount)</definedName>
    <definedName name="Bereitstellung1">#REF!</definedName>
    <definedName name="Dachmiete">#REF!</definedName>
    <definedName name="Direktnutzung">#REF!</definedName>
    <definedName name="Direktnutzung_Batteriespeicher">#REF!</definedName>
    <definedName name="Direktvermarktung">#REF!</definedName>
    <definedName name="_xlnm.Print_Titles" localSheetId="4">LoanCalculation!$24:$24</definedName>
    <definedName name="EEG_Vergütung">#REF!</definedName>
    <definedName name="eegUmlage">#REF!</definedName>
    <definedName name="eegUmlageAnteil">#REF!</definedName>
    <definedName name="EigenkapitalZuAnfang">#REF!</definedName>
    <definedName name="EigennutzungSpeicher">#REF!</definedName>
    <definedName name="Einspeisetarif">#REF!</definedName>
    <definedName name="Ending_Balance">-FV(Interest_Rate/12,Payment_Number,-Monthly_Payment,Loan_Amount)</definedName>
    <definedName name="Ertragsminderung">#REF!</definedName>
    <definedName name="Gewerbe">#REF!</definedName>
    <definedName name="Grundgebühr">#REF!</definedName>
    <definedName name="Header_Row">ROW(#REF!)</definedName>
    <definedName name="IBNJahr">#REF!</definedName>
    <definedName name="IBNMonat">#REF!</definedName>
    <definedName name="Inflationsrate">#REF!</definedName>
    <definedName name="Interest">-IPMT(Interest_Rate/12,Payment_Number,Number_of_Payments,Loan_Amount)</definedName>
    <definedName name="Interest_Rate">#REF!</definedName>
    <definedName name="Investitionsabzug">#REF!</definedName>
    <definedName name="Jahre">#REF!</definedName>
    <definedName name="Kapitalwert">#REF!</definedName>
    <definedName name="Kleinunternehmer">#REF!</definedName>
    <definedName name="Kredit1">#REF!</definedName>
    <definedName name="Kredit2">#REF!</definedName>
    <definedName name="KUR">#REF!</definedName>
    <definedName name="kWp">#REF!</definedName>
    <definedName name="Ladeverluste">#REF!</definedName>
    <definedName name="Laufzeit1">#REF!</definedName>
    <definedName name="Laufzeit2">#REF!</definedName>
    <definedName name="LfdKosten">#REF!</definedName>
    <definedName name="Loan_Amount">#REF!</definedName>
    <definedName name="Loan_Not_Paid">IF(Payment_Number&lt;=Number_of_Payments,1,0)</definedName>
    <definedName name="Loan_Start">#REF!</definedName>
    <definedName name="Loan_Years">#REF!</definedName>
    <definedName name="Monthly_Payment">-PMT(Interest_Rate/12,Number_of_Payments,Loan_Amount)</definedName>
    <definedName name="MwSt_Satz">#REF!</definedName>
    <definedName name="Number_of_Payments">#REF!</definedName>
    <definedName name="Payment_Date">DATE(YEAR(Loan_Start),MONTH(Loan_Start)+Payment_Number,DAY(Loan_Start))</definedName>
    <definedName name="Payment_Number">ROW()-Header_Row</definedName>
    <definedName name="Principal">-PPMT(Interest_Rate/12,Payment_Number,Number_of_Payments,Loan_Amount)</definedName>
    <definedName name="ProgVersion">#REF!</definedName>
    <definedName name="Sonderabschreibung">#REF!</definedName>
    <definedName name="Speicherdegradation">#REF!</definedName>
    <definedName name="Steuerbefreiung">#REF!</definedName>
    <definedName name="Steuersatz1">#REF!</definedName>
    <definedName name="Steuersatz2">#REF!</definedName>
    <definedName name="StromerlösDirektvermarktung">#REF!</definedName>
    <definedName name="Stromertrag">#REF!</definedName>
    <definedName name="StrompreisNetto">#REF!</definedName>
    <definedName name="Strompreissteigerung">#REF!</definedName>
    <definedName name="Stromverbrauch">#REF!</definedName>
    <definedName name="Tilgungsfrei1">#REF!</definedName>
    <definedName name="Tilgungsfrei2">#REF!</definedName>
    <definedName name="Total_Cost">#REF!</definedName>
    <definedName name="Values_Entered">IF(Loan_Amount*Interest_Rate*Loan_Years*Loan_Start&gt;0,1,0)</definedName>
    <definedName name="Volleinspeisung">#REF!</definedName>
    <definedName name="Vorlaufkosten">#REF!</definedName>
    <definedName name="Zinsbindung1">#REF!</definedName>
    <definedName name="Zinssatz1">#REF!</definedName>
    <definedName name="Zinssatz1NachZinsbindung">#REF!</definedName>
    <definedName name="Zinssatz2">#REF!</definedName>
    <definedName name="ZinssatzBarwert">#REF!</definedName>
    <definedName name="ZinssatzWiederanlage">#REF!</definedName>
    <definedName name="ZusatzkostenBatterie">#REF!</definedName>
    <definedName name="Zuschuss_PV_Anlage">#REF!</definedName>
    <definedName name="ZuschussBatteri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11" l="1"/>
  <c r="N8" i="15"/>
  <c r="O9" i="15"/>
  <c r="O10" i="15"/>
  <c r="O11" i="15"/>
  <c r="O12" i="15"/>
  <c r="O8" i="15"/>
  <c r="O2" i="15"/>
  <c r="O3" i="15"/>
  <c r="O4" i="15"/>
  <c r="O5" i="15"/>
  <c r="O6" i="15"/>
  <c r="P8" i="15"/>
  <c r="P9" i="15"/>
  <c r="P10" i="15"/>
  <c r="P11" i="15"/>
  <c r="P12" i="15"/>
  <c r="P3" i="15"/>
  <c r="P4" i="15"/>
  <c r="P5" i="15"/>
  <c r="P6" i="15"/>
  <c r="P2" i="15"/>
  <c r="F7" i="15"/>
  <c r="F9" i="15" s="1"/>
  <c r="C27" i="1"/>
  <c r="C31" i="1" s="1"/>
  <c r="C25" i="1"/>
  <c r="C19" i="1" s="1"/>
  <c r="C14" i="1"/>
  <c r="M2" i="15"/>
  <c r="M3" i="15"/>
  <c r="M4" i="15"/>
  <c r="M5" i="15"/>
  <c r="M6" i="15"/>
  <c r="M9" i="15"/>
  <c r="M10" i="15"/>
  <c r="M11" i="15"/>
  <c r="M12" i="15"/>
  <c r="M8" i="15"/>
  <c r="C7" i="15"/>
  <c r="C10" i="15" s="1"/>
  <c r="E7" i="15"/>
  <c r="E12" i="15" s="1"/>
  <c r="D7" i="15"/>
  <c r="D12" i="15" s="1"/>
  <c r="B7" i="15"/>
  <c r="B12" i="15" s="1"/>
  <c r="F10" i="15" l="1"/>
  <c r="F6" i="15"/>
  <c r="F5" i="15"/>
  <c r="F4" i="15"/>
  <c r="F2" i="15"/>
  <c r="F3" i="15"/>
  <c r="F8" i="15"/>
  <c r="F12" i="15"/>
  <c r="F11" i="15"/>
  <c r="C11" i="15"/>
  <c r="C9" i="15"/>
  <c r="B4" i="15"/>
  <c r="C2" i="15"/>
  <c r="C6" i="15"/>
  <c r="C5" i="15"/>
  <c r="C4" i="15"/>
  <c r="E5" i="15"/>
  <c r="C8" i="15"/>
  <c r="C3" i="15"/>
  <c r="B6" i="15"/>
  <c r="C12" i="15"/>
  <c r="D6" i="15"/>
  <c r="E6" i="15"/>
  <c r="E10" i="15"/>
  <c r="D9" i="15"/>
  <c r="E9" i="15"/>
  <c r="B5" i="15"/>
  <c r="B9" i="15"/>
  <c r="B10" i="15"/>
  <c r="D2" i="15"/>
  <c r="E2" i="15"/>
  <c r="D3" i="15"/>
  <c r="E3" i="15"/>
  <c r="D5" i="15"/>
  <c r="D10" i="15"/>
  <c r="B2" i="15"/>
  <c r="B3" i="15"/>
  <c r="B11" i="15"/>
  <c r="D11" i="15"/>
  <c r="E11" i="15"/>
  <c r="B8" i="15"/>
  <c r="D4" i="15"/>
  <c r="D8" i="15"/>
  <c r="E4" i="15"/>
  <c r="E8" i="15"/>
  <c r="E23" i="16" l="1"/>
  <c r="F23" i="16"/>
  <c r="E24" i="16"/>
  <c r="F24" i="16"/>
  <c r="E25" i="16"/>
  <c r="F25" i="16"/>
  <c r="E26" i="16"/>
  <c r="F26" i="16"/>
  <c r="E27" i="16"/>
  <c r="F27" i="16"/>
  <c r="E22" i="16"/>
  <c r="F22" i="16"/>
  <c r="E17" i="16"/>
  <c r="F17" i="16"/>
  <c r="E18" i="16"/>
  <c r="F18" i="16"/>
  <c r="E19" i="16"/>
  <c r="F19" i="16"/>
  <c r="E20" i="16"/>
  <c r="F20" i="16"/>
  <c r="E21" i="16"/>
  <c r="F21" i="16"/>
  <c r="E9" i="16"/>
  <c r="F9" i="16"/>
  <c r="E10" i="16"/>
  <c r="F10" i="16"/>
  <c r="E11" i="16"/>
  <c r="F11" i="16"/>
  <c r="E12" i="16"/>
  <c r="F12" i="16"/>
  <c r="E13" i="16"/>
  <c r="F13" i="16"/>
  <c r="E14" i="16"/>
  <c r="F14" i="16"/>
  <c r="E15" i="16"/>
  <c r="F15" i="16"/>
  <c r="E16" i="16"/>
  <c r="F16" i="16"/>
  <c r="F8" i="16"/>
  <c r="E8" i="16"/>
  <c r="F7" i="16"/>
  <c r="E7" i="16"/>
  <c r="F6" i="16"/>
  <c r="E6" i="16"/>
  <c r="F5" i="16"/>
  <c r="E5" i="16"/>
  <c r="F4" i="16"/>
  <c r="E4" i="16"/>
  <c r="F3" i="16"/>
  <c r="E3" i="16"/>
  <c r="F2" i="16"/>
  <c r="E2" i="16"/>
  <c r="E3" i="12"/>
  <c r="E4" i="12"/>
  <c r="E5" i="12"/>
  <c r="E6" i="12"/>
  <c r="E7" i="12"/>
  <c r="E8" i="12"/>
  <c r="E9" i="12"/>
  <c r="E10" i="12"/>
  <c r="E2" i="12"/>
  <c r="E3" i="13"/>
  <c r="E4" i="13"/>
  <c r="E5" i="13"/>
  <c r="E6" i="13"/>
  <c r="E7" i="13"/>
  <c r="E8" i="13"/>
  <c r="E2" i="13"/>
  <c r="E6" i="14"/>
  <c r="E7" i="14"/>
  <c r="E8" i="14"/>
  <c r="E9" i="14"/>
  <c r="E10" i="14"/>
  <c r="L9" i="15" l="1"/>
  <c r="N9" i="15"/>
  <c r="L10" i="15"/>
  <c r="N10" i="15"/>
  <c r="L11" i="15"/>
  <c r="N11" i="15"/>
  <c r="L12" i="15"/>
  <c r="N12" i="15"/>
  <c r="L8" i="15"/>
  <c r="L2" i="15"/>
  <c r="N2" i="15"/>
  <c r="L3" i="15"/>
  <c r="N3" i="15"/>
  <c r="L4" i="15"/>
  <c r="N4" i="15"/>
  <c r="L5" i="15"/>
  <c r="N5" i="15"/>
  <c r="N6" i="15"/>
  <c r="L6" i="15"/>
  <c r="F3" i="14"/>
  <c r="F4" i="14"/>
  <c r="F5" i="14"/>
  <c r="F6" i="14"/>
  <c r="F7" i="14"/>
  <c r="F8" i="14"/>
  <c r="F9" i="14"/>
  <c r="F10" i="14"/>
  <c r="F2" i="14"/>
  <c r="F3" i="13"/>
  <c r="F4" i="13"/>
  <c r="F5" i="13"/>
  <c r="F6" i="13"/>
  <c r="F7" i="13"/>
  <c r="F8" i="13"/>
  <c r="F2" i="13"/>
  <c r="F4" i="12"/>
  <c r="F5" i="12"/>
  <c r="F6" i="12"/>
  <c r="F7" i="12"/>
  <c r="F8" i="12"/>
  <c r="F9" i="12"/>
  <c r="F10" i="12"/>
  <c r="E2" i="14" l="1"/>
  <c r="E3" i="14"/>
  <c r="E4" i="14"/>
  <c r="E5" i="14"/>
  <c r="E10" i="11"/>
  <c r="E18" i="11"/>
  <c r="B25" i="11" s="1"/>
  <c r="F25" i="11" l="1"/>
  <c r="C25" i="11"/>
  <c r="N6" i="2" l="1"/>
  <c r="Q6" i="2" l="1"/>
  <c r="C10" i="10" l="1"/>
  <c r="C8" i="10"/>
  <c r="F8" i="10" s="1"/>
  <c r="C7" i="10"/>
  <c r="F7" i="10" s="1"/>
  <c r="C5" i="10"/>
  <c r="C9" i="10"/>
  <c r="C58" i="2"/>
  <c r="L7" i="2" s="1"/>
  <c r="F9" i="10" l="1"/>
  <c r="L34" i="2"/>
  <c r="L26" i="2"/>
  <c r="L22" i="2"/>
  <c r="L18" i="2"/>
  <c r="L30" i="2"/>
  <c r="L10" i="2"/>
  <c r="L9" i="2"/>
  <c r="L36" i="2"/>
  <c r="L32" i="2"/>
  <c r="L28" i="2"/>
  <c r="L24" i="2"/>
  <c r="L20" i="2"/>
  <c r="L16" i="2"/>
  <c r="L12" i="2"/>
  <c r="L8" i="2"/>
  <c r="L14" i="2"/>
  <c r="L6" i="2"/>
  <c r="L33" i="2"/>
  <c r="L29" i="2"/>
  <c r="L25" i="2"/>
  <c r="L21" i="2"/>
  <c r="L17" i="2"/>
  <c r="L13" i="2"/>
  <c r="L35" i="2"/>
  <c r="L31" i="2"/>
  <c r="L27" i="2"/>
  <c r="L23" i="2"/>
  <c r="L19" i="2"/>
  <c r="L15" i="2"/>
  <c r="L11" i="2"/>
  <c r="D20" i="3" l="1"/>
  <c r="D19" i="3"/>
  <c r="C6" i="10" l="1"/>
  <c r="C13" i="10" s="1"/>
  <c r="C20" i="10" s="1"/>
  <c r="C56" i="2" s="1"/>
  <c r="H28" i="14"/>
  <c r="C11" i="10"/>
  <c r="C39" i="2"/>
  <c r="B25" i="3"/>
  <c r="B26" i="3" s="1"/>
  <c r="B27" i="3" s="1"/>
  <c r="B28" i="3" s="1"/>
  <c r="B29" i="3" s="1"/>
  <c r="B30" i="3" s="1"/>
  <c r="B31" i="3" s="1"/>
  <c r="B32" i="3" s="1"/>
  <c r="B33" i="3" s="1"/>
  <c r="B34" i="3" s="1"/>
  <c r="B35" i="3" s="1"/>
  <c r="B36" i="3" s="1"/>
  <c r="B37" i="3" s="1"/>
  <c r="B38" i="3" s="1"/>
  <c r="B39" i="3" s="1"/>
  <c r="B40" i="3" s="1"/>
  <c r="B41" i="3" s="1"/>
  <c r="B42" i="3" s="1"/>
  <c r="B43" i="3" s="1"/>
  <c r="B44" i="3" s="1"/>
  <c r="F24" i="3"/>
  <c r="E24" i="3"/>
  <c r="D12" i="3"/>
  <c r="C24" i="3" s="1"/>
  <c r="D6" i="3"/>
  <c r="D25" i="3" s="1"/>
  <c r="C55" i="2" l="1"/>
  <c r="C57" i="1"/>
  <c r="G24" i="3"/>
  <c r="H24" i="3" s="1"/>
  <c r="D26" i="3"/>
  <c r="F25" i="3"/>
  <c r="D15" i="3"/>
  <c r="E25" i="3" s="1"/>
  <c r="C58" i="1" l="1"/>
  <c r="G25" i="3"/>
  <c r="H25" i="3" s="1"/>
  <c r="E26" i="3"/>
  <c r="D27" i="3"/>
  <c r="F26" i="3"/>
  <c r="G26" i="3" l="1"/>
  <c r="H26" i="3" s="1"/>
  <c r="D28" i="3"/>
  <c r="F27" i="3"/>
  <c r="E27" i="3"/>
  <c r="G27" i="3" l="1"/>
  <c r="H27" i="3"/>
  <c r="D29" i="3"/>
  <c r="F28" i="3"/>
  <c r="E28" i="3"/>
  <c r="G28" i="3" l="1"/>
  <c r="H28" i="3" s="1"/>
  <c r="D30" i="3"/>
  <c r="F29" i="3"/>
  <c r="E29" i="3"/>
  <c r="G29" i="3" s="1"/>
  <c r="H29" i="3" l="1"/>
  <c r="D31" i="3"/>
  <c r="F30" i="3"/>
  <c r="E30" i="3"/>
  <c r="G30" i="3" l="1"/>
  <c r="H30" i="3" s="1"/>
  <c r="D32" i="3"/>
  <c r="F31" i="3"/>
  <c r="E31" i="3"/>
  <c r="G31" i="3" l="1"/>
  <c r="H31" i="3" s="1"/>
  <c r="D33" i="3"/>
  <c r="F32" i="3"/>
  <c r="E32" i="3"/>
  <c r="G32" i="3" s="1"/>
  <c r="H32" i="3" l="1"/>
  <c r="D34" i="3"/>
  <c r="F33" i="3"/>
  <c r="E33" i="3"/>
  <c r="G33" i="3" l="1"/>
  <c r="H33" i="3" s="1"/>
  <c r="D35" i="3"/>
  <c r="F34" i="3"/>
  <c r="E34" i="3"/>
  <c r="G34" i="3" s="1"/>
  <c r="D36" i="3" l="1"/>
  <c r="F35" i="3"/>
  <c r="E35" i="3"/>
  <c r="H34" i="3"/>
  <c r="G35" i="3" l="1"/>
  <c r="H35" i="3" s="1"/>
  <c r="D37" i="3"/>
  <c r="F36" i="3"/>
  <c r="E36" i="3"/>
  <c r="G36" i="3" l="1"/>
  <c r="H36" i="3" s="1"/>
  <c r="D38" i="3"/>
  <c r="F37" i="3"/>
  <c r="E37" i="3"/>
  <c r="G37" i="3" l="1"/>
  <c r="H37" i="3" s="1"/>
  <c r="D39" i="3"/>
  <c r="F38" i="3"/>
  <c r="E38" i="3"/>
  <c r="G38" i="3" l="1"/>
  <c r="H38" i="3" s="1"/>
  <c r="D40" i="3"/>
  <c r="F39" i="3"/>
  <c r="E39" i="3"/>
  <c r="G39" i="3" l="1"/>
  <c r="H39" i="3" s="1"/>
  <c r="D41" i="3"/>
  <c r="F40" i="3"/>
  <c r="E40" i="3"/>
  <c r="G40" i="3" l="1"/>
  <c r="H40" i="3" s="1"/>
  <c r="D42" i="3"/>
  <c r="F41" i="3"/>
  <c r="E41" i="3"/>
  <c r="G41" i="3" l="1"/>
  <c r="H41" i="3" s="1"/>
  <c r="D43" i="3"/>
  <c r="F42" i="3"/>
  <c r="E42" i="3"/>
  <c r="G42" i="3" l="1"/>
  <c r="H42" i="3" s="1"/>
  <c r="D44" i="3"/>
  <c r="F43" i="3"/>
  <c r="E43" i="3"/>
  <c r="G43" i="3" s="1"/>
  <c r="H43" i="3" s="1"/>
  <c r="F44" i="3" l="1"/>
  <c r="E44" i="3"/>
  <c r="G44" i="3" s="1"/>
  <c r="H44" i="3" l="1"/>
  <c r="B76" i="2" l="1"/>
  <c r="B77" i="2" s="1"/>
  <c r="B78" i="2" s="1"/>
  <c r="B79" i="2" s="1"/>
  <c r="B80" i="2" s="1"/>
  <c r="B81" i="2" s="1"/>
  <c r="B82" i="2" s="1"/>
  <c r="B83" i="2" s="1"/>
  <c r="B84" i="2" s="1"/>
  <c r="B85" i="2" s="1"/>
  <c r="B86" i="2" s="1"/>
  <c r="B87" i="2" s="1"/>
  <c r="B88" i="2" s="1"/>
  <c r="B89" i="2" s="1"/>
  <c r="B90" i="2" s="1"/>
  <c r="B91" i="2" s="1"/>
  <c r="B92" i="2" s="1"/>
  <c r="B93" i="2" s="1"/>
  <c r="B94" i="2" s="1"/>
  <c r="B95" i="2" s="1"/>
  <c r="B96" i="2" s="1"/>
  <c r="B97" i="2" s="1"/>
  <c r="B98" i="2" s="1"/>
  <c r="B99" i="2" s="1"/>
  <c r="B100" i="2" s="1"/>
  <c r="B101" i="2" s="1"/>
  <c r="B102" i="2" s="1"/>
  <c r="B103" i="2" s="1"/>
  <c r="B104" i="2" s="1"/>
  <c r="B105" i="2" s="1"/>
  <c r="C54" i="2" l="1"/>
  <c r="B7" i="2" l="1"/>
  <c r="D7" i="2" s="1"/>
  <c r="E7" i="2" l="1"/>
  <c r="Q7" i="2"/>
  <c r="K7" i="2"/>
  <c r="J7" i="2"/>
  <c r="N7" i="2" s="1"/>
  <c r="B8" i="2"/>
  <c r="D8" i="2" s="1"/>
  <c r="Q8" i="2" l="1"/>
  <c r="E8" i="2"/>
  <c r="S7" i="2"/>
  <c r="K8" i="2"/>
  <c r="F17" i="11"/>
  <c r="C6" i="2"/>
  <c r="C4" i="10"/>
  <c r="F4" i="10"/>
  <c r="F5" i="10"/>
  <c r="F6" i="10"/>
  <c r="J8" i="2"/>
  <c r="N8" i="2" s="1"/>
  <c r="B9" i="2"/>
  <c r="D9" i="2" s="1"/>
  <c r="P6" i="2" l="1"/>
  <c r="O6" i="2"/>
  <c r="I6" i="2"/>
  <c r="S8" i="2"/>
  <c r="Q9" i="2"/>
  <c r="E9" i="2"/>
  <c r="F7" i="2"/>
  <c r="K9" i="2"/>
  <c r="D25" i="11"/>
  <c r="I25" i="11" s="1"/>
  <c r="E17" i="11"/>
  <c r="J9" i="2"/>
  <c r="N9" i="2" s="1"/>
  <c r="B10" i="2"/>
  <c r="D10" i="2" s="1"/>
  <c r="C75" i="2" l="1"/>
  <c r="E25" i="11"/>
  <c r="G25" i="11" s="1"/>
  <c r="H17" i="11"/>
  <c r="F8" i="2"/>
  <c r="S9" i="2"/>
  <c r="Q10" i="2"/>
  <c r="K10" i="2"/>
  <c r="J10" i="2"/>
  <c r="B11" i="2"/>
  <c r="D11" i="2" s="1"/>
  <c r="H25" i="11" l="1"/>
  <c r="J25" i="11" s="1"/>
  <c r="B26" i="11" s="1"/>
  <c r="D26" i="11" s="1"/>
  <c r="I26" i="11" s="1"/>
  <c r="F9" i="2"/>
  <c r="Q11" i="2"/>
  <c r="K11" i="2"/>
  <c r="J11" i="2"/>
  <c r="B12" i="2"/>
  <c r="D12" i="2" s="1"/>
  <c r="F10" i="2" l="1"/>
  <c r="N10" i="2"/>
  <c r="E10" i="2"/>
  <c r="Q12" i="2"/>
  <c r="K12" i="2"/>
  <c r="C26" i="11"/>
  <c r="F26" i="11"/>
  <c r="E26" i="11"/>
  <c r="J12" i="2"/>
  <c r="B13" i="2"/>
  <c r="D13" i="2" s="1"/>
  <c r="S10" i="2" l="1"/>
  <c r="Q13" i="2"/>
  <c r="N11" i="2"/>
  <c r="E11" i="2"/>
  <c r="F11" i="2"/>
  <c r="K13" i="2"/>
  <c r="H26" i="11"/>
  <c r="J26" i="11" s="1"/>
  <c r="B27" i="11" s="1"/>
  <c r="D27" i="11" s="1"/>
  <c r="I27" i="11" s="1"/>
  <c r="G26" i="11"/>
  <c r="J13" i="2"/>
  <c r="B14" i="2"/>
  <c r="D14" i="2" s="1"/>
  <c r="S11" i="2" l="1"/>
  <c r="Q14" i="2"/>
  <c r="N12" i="2"/>
  <c r="E12" i="2"/>
  <c r="F12" i="2"/>
  <c r="K14" i="2"/>
  <c r="C27" i="11"/>
  <c r="E27" i="11"/>
  <c r="F27" i="11"/>
  <c r="R13" i="2"/>
  <c r="R7" i="2"/>
  <c r="R8" i="2"/>
  <c r="R9" i="2"/>
  <c r="R10" i="2"/>
  <c r="R11" i="2"/>
  <c r="R12" i="2"/>
  <c r="J14" i="2"/>
  <c r="B15" i="2"/>
  <c r="D15" i="2" s="1"/>
  <c r="R14" i="2" l="1"/>
  <c r="S12" i="2"/>
  <c r="N13" i="2"/>
  <c r="E13" i="2"/>
  <c r="Q15" i="2"/>
  <c r="F13" i="2"/>
  <c r="K15" i="2"/>
  <c r="H27" i="11"/>
  <c r="J27" i="11" s="1"/>
  <c r="B28" i="11" s="1"/>
  <c r="F28" i="11" s="1"/>
  <c r="G27" i="11"/>
  <c r="J15" i="2"/>
  <c r="B16" i="2"/>
  <c r="D16" i="2" s="1"/>
  <c r="G16" i="2" l="1"/>
  <c r="H16" i="2"/>
  <c r="S13" i="2"/>
  <c r="R15" i="2"/>
  <c r="N14" i="2"/>
  <c r="E14" i="2"/>
  <c r="Q16" i="2"/>
  <c r="F14" i="2"/>
  <c r="K16" i="2"/>
  <c r="D28" i="11"/>
  <c r="I28" i="11" s="1"/>
  <c r="E28" i="11"/>
  <c r="G28" i="11" s="1"/>
  <c r="C28" i="11"/>
  <c r="J16" i="2"/>
  <c r="B17" i="2"/>
  <c r="D17" i="2" s="1"/>
  <c r="H17" i="2" l="1"/>
  <c r="G17" i="2"/>
  <c r="S14" i="2"/>
  <c r="R16" i="2"/>
  <c r="Q17" i="2"/>
  <c r="N15" i="2"/>
  <c r="E15" i="2"/>
  <c r="F15" i="2"/>
  <c r="K17" i="2"/>
  <c r="H28" i="11"/>
  <c r="J28" i="11" s="1"/>
  <c r="B29" i="11" s="1"/>
  <c r="D29" i="11" s="1"/>
  <c r="I29" i="11" s="1"/>
  <c r="J17" i="2"/>
  <c r="B18" i="2"/>
  <c r="D18" i="2" s="1"/>
  <c r="G18" i="2" l="1"/>
  <c r="H18" i="2"/>
  <c r="S15" i="2"/>
  <c r="R17" i="2"/>
  <c r="Q18" i="2"/>
  <c r="N16" i="2"/>
  <c r="E16" i="2"/>
  <c r="F16" i="2"/>
  <c r="M16" i="2" s="1"/>
  <c r="K18" i="2"/>
  <c r="C29" i="11"/>
  <c r="E29" i="11"/>
  <c r="F29" i="11"/>
  <c r="J18" i="2"/>
  <c r="B19" i="2"/>
  <c r="D19" i="2" s="1"/>
  <c r="H19" i="2" l="1"/>
  <c r="G19" i="2"/>
  <c r="O16" i="2"/>
  <c r="R18" i="2"/>
  <c r="S16" i="2"/>
  <c r="T16" i="2" s="1"/>
  <c r="N17" i="2"/>
  <c r="E17" i="2"/>
  <c r="Q19" i="2"/>
  <c r="F17" i="2"/>
  <c r="M17" i="2" s="1"/>
  <c r="K19" i="2"/>
  <c r="H29" i="11"/>
  <c r="J29" i="11" s="1"/>
  <c r="B30" i="11" s="1"/>
  <c r="F30" i="11" s="1"/>
  <c r="G29" i="11"/>
  <c r="J19" i="2"/>
  <c r="B20" i="2"/>
  <c r="D20" i="2" s="1"/>
  <c r="G20" i="2" l="1"/>
  <c r="H20" i="2"/>
  <c r="O17" i="2"/>
  <c r="S17" i="2"/>
  <c r="T17" i="2" s="1"/>
  <c r="Q20" i="2"/>
  <c r="R19" i="2"/>
  <c r="N18" i="2"/>
  <c r="E18" i="2"/>
  <c r="F18" i="2"/>
  <c r="M18" i="2" s="1"/>
  <c r="K20" i="2"/>
  <c r="E30" i="11"/>
  <c r="G30" i="11" s="1"/>
  <c r="D30" i="11"/>
  <c r="I30" i="11" s="1"/>
  <c r="C30" i="11"/>
  <c r="J20" i="2"/>
  <c r="B21" i="2"/>
  <c r="D21" i="2" s="1"/>
  <c r="G21" i="2" l="1"/>
  <c r="H21" i="2"/>
  <c r="O18" i="2"/>
  <c r="R20" i="2"/>
  <c r="S18" i="2"/>
  <c r="T18" i="2" s="1"/>
  <c r="Q21" i="2"/>
  <c r="N19" i="2"/>
  <c r="E19" i="2"/>
  <c r="F19" i="2"/>
  <c r="M19" i="2" s="1"/>
  <c r="K21" i="2"/>
  <c r="H30" i="11"/>
  <c r="J30" i="11" s="1"/>
  <c r="B31" i="11" s="1"/>
  <c r="D31" i="11" s="1"/>
  <c r="I31" i="11" s="1"/>
  <c r="J21" i="2"/>
  <c r="B22" i="2"/>
  <c r="D22" i="2" s="1"/>
  <c r="G22" i="2" l="1"/>
  <c r="H22" i="2"/>
  <c r="O19" i="2"/>
  <c r="S19" i="2"/>
  <c r="T19" i="2" s="1"/>
  <c r="R21" i="2"/>
  <c r="Q22" i="2"/>
  <c r="N20" i="2"/>
  <c r="E20" i="2"/>
  <c r="F20" i="2"/>
  <c r="M20" i="2" s="1"/>
  <c r="K22" i="2"/>
  <c r="E31" i="11"/>
  <c r="C31" i="11"/>
  <c r="F31" i="11"/>
  <c r="J22" i="2"/>
  <c r="B23" i="2"/>
  <c r="D23" i="2" s="1"/>
  <c r="G23" i="2" l="1"/>
  <c r="H23" i="2"/>
  <c r="O20" i="2"/>
  <c r="S20" i="2"/>
  <c r="T20" i="2" s="1"/>
  <c r="R22" i="2"/>
  <c r="N21" i="2"/>
  <c r="E21" i="2"/>
  <c r="Q23" i="2"/>
  <c r="G31" i="11"/>
  <c r="F21" i="2"/>
  <c r="M21" i="2" s="1"/>
  <c r="K23" i="2"/>
  <c r="H31" i="11"/>
  <c r="J31" i="11" s="1"/>
  <c r="B32" i="11" s="1"/>
  <c r="J23" i="2"/>
  <c r="B24" i="2"/>
  <c r="D24" i="2" s="1"/>
  <c r="G24" i="2" l="1"/>
  <c r="H24" i="2"/>
  <c r="O21" i="2"/>
  <c r="S21" i="2"/>
  <c r="T21" i="2" s="1"/>
  <c r="N22" i="2"/>
  <c r="E22" i="2"/>
  <c r="R23" i="2"/>
  <c r="Q24" i="2"/>
  <c r="F22" i="2"/>
  <c r="M22" i="2" s="1"/>
  <c r="K24" i="2"/>
  <c r="E32" i="11"/>
  <c r="F32" i="11"/>
  <c r="C32" i="11"/>
  <c r="D32" i="11"/>
  <c r="I32" i="11" s="1"/>
  <c r="J24" i="2"/>
  <c r="B25" i="2"/>
  <c r="D25" i="2" s="1"/>
  <c r="H25" i="2" l="1"/>
  <c r="G25" i="2"/>
  <c r="O22" i="2"/>
  <c r="S22" i="2"/>
  <c r="T22" i="2" s="1"/>
  <c r="R24" i="2"/>
  <c r="Q25" i="2"/>
  <c r="N23" i="2"/>
  <c r="E23" i="2"/>
  <c r="F23" i="2"/>
  <c r="M23" i="2" s="1"/>
  <c r="K25" i="2"/>
  <c r="H32" i="11"/>
  <c r="J32" i="11" s="1"/>
  <c r="B33" i="11" s="1"/>
  <c r="E33" i="11" s="1"/>
  <c r="G32" i="11"/>
  <c r="J25" i="2"/>
  <c r="B26" i="2"/>
  <c r="D26" i="2" s="1"/>
  <c r="G26" i="2" l="1"/>
  <c r="H26" i="2"/>
  <c r="O23" i="2"/>
  <c r="S23" i="2"/>
  <c r="T23" i="2" s="1"/>
  <c r="Q26" i="2"/>
  <c r="R25" i="2"/>
  <c r="N24" i="2"/>
  <c r="E24" i="2"/>
  <c r="F24" i="2"/>
  <c r="M24" i="2" s="1"/>
  <c r="D33" i="11"/>
  <c r="I33" i="11" s="1"/>
  <c r="F33" i="11"/>
  <c r="G33" i="11" s="1"/>
  <c r="C33" i="11"/>
  <c r="K26" i="2"/>
  <c r="J26" i="2"/>
  <c r="B27" i="2"/>
  <c r="D27" i="2" s="1"/>
  <c r="H27" i="2" l="1"/>
  <c r="G27" i="2"/>
  <c r="O24" i="2"/>
  <c r="N25" i="2"/>
  <c r="F25" i="2"/>
  <c r="M25" i="2" s="1"/>
  <c r="E25" i="2"/>
  <c r="S24" i="2"/>
  <c r="T24" i="2" s="1"/>
  <c r="E27" i="2"/>
  <c r="Q27" i="2"/>
  <c r="R26" i="2"/>
  <c r="H33" i="11"/>
  <c r="J33" i="11" s="1"/>
  <c r="B34" i="11" s="1"/>
  <c r="D34" i="11" s="1"/>
  <c r="I34" i="11" s="1"/>
  <c r="K27" i="2"/>
  <c r="J27" i="2"/>
  <c r="B28" i="2"/>
  <c r="D28" i="2" s="1"/>
  <c r="H28" i="2" l="1"/>
  <c r="G28" i="2"/>
  <c r="O25" i="2"/>
  <c r="E34" i="11"/>
  <c r="F34" i="11"/>
  <c r="C34" i="11"/>
  <c r="S25" i="2"/>
  <c r="T25" i="2" s="1"/>
  <c r="R27" i="2"/>
  <c r="Q28" i="2"/>
  <c r="E28" i="2"/>
  <c r="S27" i="2"/>
  <c r="K28" i="2"/>
  <c r="N27" i="2"/>
  <c r="J28" i="2"/>
  <c r="B29" i="2"/>
  <c r="D29" i="2" s="1"/>
  <c r="G34" i="11" l="1"/>
  <c r="H29" i="2"/>
  <c r="G29" i="2"/>
  <c r="H34" i="11"/>
  <c r="J34" i="11" s="1"/>
  <c r="B35" i="11" s="1"/>
  <c r="F35" i="11" s="1"/>
  <c r="R28" i="2"/>
  <c r="N26" i="2"/>
  <c r="E26" i="2"/>
  <c r="F26" i="2"/>
  <c r="Q29" i="2"/>
  <c r="E29" i="2"/>
  <c r="S28" i="2"/>
  <c r="K29" i="2"/>
  <c r="N28" i="2"/>
  <c r="J29" i="2"/>
  <c r="N29" i="2" s="1"/>
  <c r="B30" i="2"/>
  <c r="D30" i="2" s="1"/>
  <c r="M26" i="2" l="1"/>
  <c r="F27" i="2"/>
  <c r="E35" i="11"/>
  <c r="C35" i="11"/>
  <c r="D35" i="11"/>
  <c r="I35" i="11" s="1"/>
  <c r="G30" i="2"/>
  <c r="H30" i="2"/>
  <c r="O26" i="2"/>
  <c r="G35" i="11"/>
  <c r="S26" i="2"/>
  <c r="T26" i="2" s="1"/>
  <c r="Q30" i="2"/>
  <c r="E30" i="2"/>
  <c r="R29" i="2"/>
  <c r="S29" i="2"/>
  <c r="K30" i="2"/>
  <c r="J30" i="2"/>
  <c r="B31" i="2"/>
  <c r="D31" i="2" s="1"/>
  <c r="F28" i="2" l="1"/>
  <c r="M27" i="2"/>
  <c r="T27" i="2" s="1"/>
  <c r="O27" i="2"/>
  <c r="H35" i="11"/>
  <c r="J35" i="11" s="1"/>
  <c r="B36" i="11" s="1"/>
  <c r="F36" i="11" s="1"/>
  <c r="H31" i="2"/>
  <c r="G31" i="2"/>
  <c r="N30" i="2"/>
  <c r="R30" i="2"/>
  <c r="Q31" i="2"/>
  <c r="E31" i="2"/>
  <c r="S30" i="2"/>
  <c r="K31" i="2"/>
  <c r="J31" i="2"/>
  <c r="B32" i="2"/>
  <c r="D32" i="2" s="1"/>
  <c r="F29" i="2" l="1"/>
  <c r="O28" i="2"/>
  <c r="M28" i="2"/>
  <c r="T28" i="2" s="1"/>
  <c r="D36" i="11"/>
  <c r="I36" i="11" s="1"/>
  <c r="O25" i="11" s="1"/>
  <c r="G7" i="2" s="1"/>
  <c r="C36" i="11"/>
  <c r="E36" i="11"/>
  <c r="G36" i="11" s="1"/>
  <c r="M25" i="11" s="1"/>
  <c r="G32" i="2"/>
  <c r="H32" i="2"/>
  <c r="Q32" i="2"/>
  <c r="E32" i="2"/>
  <c r="S31" i="2"/>
  <c r="R31" i="2"/>
  <c r="K32" i="2"/>
  <c r="N31" i="2"/>
  <c r="J32" i="2"/>
  <c r="B33" i="2"/>
  <c r="D33" i="2" s="1"/>
  <c r="O29" i="2" l="1"/>
  <c r="M29" i="2"/>
  <c r="T29" i="2" s="1"/>
  <c r="F30" i="2"/>
  <c r="H36" i="11"/>
  <c r="H33" i="2"/>
  <c r="G33" i="2"/>
  <c r="Q33" i="2"/>
  <c r="E33" i="2"/>
  <c r="S32" i="2"/>
  <c r="N32" i="2"/>
  <c r="R32" i="2"/>
  <c r="K33" i="2"/>
  <c r="J33" i="2"/>
  <c r="N33" i="2" s="1"/>
  <c r="B34" i="2"/>
  <c r="D34" i="2" s="1"/>
  <c r="F31" i="2" l="1"/>
  <c r="M30" i="2"/>
  <c r="T30" i="2" s="1"/>
  <c r="O30" i="2"/>
  <c r="J36" i="11"/>
  <c r="B37" i="11" s="1"/>
  <c r="N25" i="11"/>
  <c r="H7" i="2" s="1"/>
  <c r="G34" i="2"/>
  <c r="H34" i="2"/>
  <c r="Q34" i="2"/>
  <c r="E34" i="2"/>
  <c r="S33" i="2"/>
  <c r="R33" i="2"/>
  <c r="K34" i="2"/>
  <c r="J34" i="2"/>
  <c r="B35" i="2"/>
  <c r="D35" i="2" s="1"/>
  <c r="O31" i="2" l="1"/>
  <c r="F32" i="2"/>
  <c r="M31" i="2"/>
  <c r="T31" i="2" s="1"/>
  <c r="I7" i="2"/>
  <c r="M7" i="2"/>
  <c r="T7" i="2" s="1"/>
  <c r="O7" i="2"/>
  <c r="P7" i="2" s="1"/>
  <c r="C76" i="2" s="1"/>
  <c r="E37" i="11"/>
  <c r="C37" i="11"/>
  <c r="F37" i="11"/>
  <c r="D37" i="11"/>
  <c r="I37" i="11" s="1"/>
  <c r="N34" i="2"/>
  <c r="G35" i="2"/>
  <c r="H35" i="2"/>
  <c r="S34" i="2"/>
  <c r="Q35" i="2"/>
  <c r="E35" i="2"/>
  <c r="R34" i="2"/>
  <c r="K35" i="2"/>
  <c r="J35" i="2"/>
  <c r="B36" i="2"/>
  <c r="D36" i="2" s="1"/>
  <c r="M32" i="2" l="1"/>
  <c r="T32" i="2" s="1"/>
  <c r="O32" i="2"/>
  <c r="F33" i="2"/>
  <c r="H37" i="11"/>
  <c r="J37" i="11" s="1"/>
  <c r="B38" i="11" s="1"/>
  <c r="F38" i="11" s="1"/>
  <c r="G37" i="11"/>
  <c r="G36" i="2"/>
  <c r="H36" i="2"/>
  <c r="S35" i="2"/>
  <c r="R35" i="2"/>
  <c r="E36" i="2"/>
  <c r="Q36" i="2"/>
  <c r="N35" i="2"/>
  <c r="K36" i="2"/>
  <c r="J36" i="2"/>
  <c r="M33" i="2" l="1"/>
  <c r="T33" i="2" s="1"/>
  <c r="O33" i="2"/>
  <c r="F34" i="2"/>
  <c r="E38" i="11"/>
  <c r="G38" i="11" s="1"/>
  <c r="D38" i="11"/>
  <c r="I38" i="11" s="1"/>
  <c r="C38" i="11"/>
  <c r="Q37" i="2"/>
  <c r="R36" i="2"/>
  <c r="S36" i="2"/>
  <c r="D37" i="2"/>
  <c r="N36" i="2"/>
  <c r="E37" i="2"/>
  <c r="C44" i="2"/>
  <c r="C43" i="2"/>
  <c r="O34" i="2" l="1"/>
  <c r="M34" i="2"/>
  <c r="T34" i="2" s="1"/>
  <c r="F35" i="2"/>
  <c r="H38" i="11"/>
  <c r="J38" i="11" s="1"/>
  <c r="B39" i="11" s="1"/>
  <c r="F39" i="11" s="1"/>
  <c r="S37" i="2"/>
  <c r="R37" i="2"/>
  <c r="C50" i="2" s="1"/>
  <c r="F36" i="2" l="1"/>
  <c r="M35" i="2"/>
  <c r="T35" i="2" s="1"/>
  <c r="O35" i="2"/>
  <c r="F37" i="2"/>
  <c r="C39" i="11"/>
  <c r="D39" i="11"/>
  <c r="I39" i="11" s="1"/>
  <c r="E39" i="11"/>
  <c r="G39" i="11" s="1"/>
  <c r="N37" i="2"/>
  <c r="C48" i="2" s="1"/>
  <c r="O36" i="2" l="1"/>
  <c r="M36" i="2"/>
  <c r="T36" i="2" s="1"/>
  <c r="H39" i="11"/>
  <c r="J39" i="11" s="1"/>
  <c r="B40" i="11" s="1"/>
  <c r="E40" i="11" s="1"/>
  <c r="D40" i="11" l="1"/>
  <c r="I40" i="11" s="1"/>
  <c r="C40" i="11"/>
  <c r="F40" i="11"/>
  <c r="H40" i="11" s="1"/>
  <c r="J40" i="11" s="1"/>
  <c r="B41" i="11" s="1"/>
  <c r="G40" i="11" l="1"/>
  <c r="F41" i="11"/>
  <c r="E41" i="11"/>
  <c r="C41" i="11"/>
  <c r="D41" i="11"/>
  <c r="I41" i="11" s="1"/>
  <c r="H41" i="11" l="1"/>
  <c r="J41" i="11" s="1"/>
  <c r="B42" i="11" s="1"/>
  <c r="G41" i="11"/>
  <c r="F42" i="11" l="1"/>
  <c r="C42" i="11"/>
  <c r="E42" i="11"/>
  <c r="D42" i="11"/>
  <c r="I42" i="11" s="1"/>
  <c r="D76" i="2"/>
  <c r="G42" i="11" l="1"/>
  <c r="H42" i="11"/>
  <c r="J42" i="11" s="1"/>
  <c r="B43" i="11" s="1"/>
  <c r="E43" i="11" s="1"/>
  <c r="D43" i="11" l="1"/>
  <c r="I43" i="11" s="1"/>
  <c r="C43" i="11"/>
  <c r="F43" i="11"/>
  <c r="G43" i="11" s="1"/>
  <c r="H43" i="11" l="1"/>
  <c r="J43" i="11" l="1"/>
  <c r="B44" i="11" s="1"/>
  <c r="C44" i="11" s="1"/>
  <c r="F44" i="11" l="1"/>
  <c r="E44" i="11"/>
  <c r="D44" i="11"/>
  <c r="I44" i="11" s="1"/>
  <c r="G44" i="11" l="1"/>
  <c r="H44" i="11"/>
  <c r="J44" i="11" s="1"/>
  <c r="B45" i="11" s="1"/>
  <c r="D45" i="11" s="1"/>
  <c r="I45" i="11" s="1"/>
  <c r="E45" i="11" l="1"/>
  <c r="C45" i="11"/>
  <c r="F45" i="11"/>
  <c r="G45" i="11" l="1"/>
  <c r="H45" i="11"/>
  <c r="J45" i="11" s="1"/>
  <c r="B46" i="11" s="1"/>
  <c r="E46" i="11" s="1"/>
  <c r="C46" i="11" l="1"/>
  <c r="F46" i="11"/>
  <c r="G46" i="11" s="1"/>
  <c r="D46" i="11"/>
  <c r="I46" i="11" s="1"/>
  <c r="H46" i="11" l="1"/>
  <c r="J46" i="11" s="1"/>
  <c r="B47" i="11" s="1"/>
  <c r="F47" i="11" s="1"/>
  <c r="E47" i="11" l="1"/>
  <c r="G47" i="11" s="1"/>
  <c r="C47" i="11"/>
  <c r="D47" i="11"/>
  <c r="I47" i="11" s="1"/>
  <c r="H47" i="11" l="1"/>
  <c r="J47" i="11" s="1"/>
  <c r="B48" i="11" s="1"/>
  <c r="E48" i="11" s="1"/>
  <c r="C48" i="11" l="1"/>
  <c r="F48" i="11"/>
  <c r="G48" i="11" s="1"/>
  <c r="M26" i="11" s="1"/>
  <c r="D48" i="11"/>
  <c r="I48" i="11" s="1"/>
  <c r="O26" i="11" s="1"/>
  <c r="G8" i="2" l="1"/>
  <c r="H48" i="11"/>
  <c r="N26" i="11" s="1"/>
  <c r="J48" i="11" l="1"/>
  <c r="B49" i="11" s="1"/>
  <c r="F49" i="11" s="1"/>
  <c r="H8" i="2"/>
  <c r="O8" i="2" s="1"/>
  <c r="C49" i="11" l="1"/>
  <c r="E49" i="11"/>
  <c r="G49" i="11" s="1"/>
  <c r="D49" i="11"/>
  <c r="I49" i="11" s="1"/>
  <c r="P8" i="2"/>
  <c r="C77" i="2" s="1"/>
  <c r="I8" i="2"/>
  <c r="M8" i="2"/>
  <c r="T8" i="2" s="1"/>
  <c r="H49" i="11" l="1"/>
  <c r="J49" i="11" s="1"/>
  <c r="B50" i="11" s="1"/>
  <c r="E50" i="11" s="1"/>
  <c r="D77" i="2"/>
  <c r="D18" i="3"/>
  <c r="D50" i="11" l="1"/>
  <c r="I50" i="11" s="1"/>
  <c r="C50" i="11"/>
  <c r="F50" i="11"/>
  <c r="G50" i="11" s="1"/>
  <c r="H50" i="11" l="1"/>
  <c r="J50" i="11" s="1"/>
  <c r="B51" i="11" s="1"/>
  <c r="C51" i="11" s="1"/>
  <c r="F51" i="11" l="1"/>
  <c r="D51" i="11"/>
  <c r="I51" i="11" s="1"/>
  <c r="E51" i="11"/>
  <c r="G51" i="11" l="1"/>
  <c r="H51" i="11"/>
  <c r="J51" i="11" s="1"/>
  <c r="B52" i="11" s="1"/>
  <c r="C52" i="11" l="1"/>
  <c r="E52" i="11"/>
  <c r="D52" i="11"/>
  <c r="I52" i="11" s="1"/>
  <c r="F52" i="11"/>
  <c r="G52" i="11" l="1"/>
  <c r="H52" i="11"/>
  <c r="J52" i="11" l="1"/>
  <c r="B53" i="11" s="1"/>
  <c r="D53" i="11" l="1"/>
  <c r="I53" i="11" s="1"/>
  <c r="C53" i="11"/>
  <c r="E53" i="11"/>
  <c r="F53" i="11"/>
  <c r="H53" i="11" l="1"/>
  <c r="J53" i="11" s="1"/>
  <c r="B54" i="11" s="1"/>
  <c r="G53" i="11"/>
  <c r="E54" i="11" l="1"/>
  <c r="D54" i="11"/>
  <c r="I54" i="11" s="1"/>
  <c r="F54" i="11"/>
  <c r="C54" i="11"/>
  <c r="H54" i="11" l="1"/>
  <c r="J54" i="11" s="1"/>
  <c r="B55" i="11" s="1"/>
  <c r="G54" i="11"/>
  <c r="E55" i="11" l="1"/>
  <c r="D55" i="11"/>
  <c r="I55" i="11" s="1"/>
  <c r="F55" i="11"/>
  <c r="C55" i="11"/>
  <c r="G55" i="11" l="1"/>
  <c r="H55" i="11"/>
  <c r="J55" i="11" s="1"/>
  <c r="B56" i="11" s="1"/>
  <c r="E56" i="11" l="1"/>
  <c r="D56" i="11"/>
  <c r="I56" i="11" s="1"/>
  <c r="F56" i="11"/>
  <c r="C56" i="11"/>
  <c r="G56" i="11" l="1"/>
  <c r="H56" i="11"/>
  <c r="J56" i="11" s="1"/>
  <c r="B57" i="11" s="1"/>
  <c r="E57" i="11" l="1"/>
  <c r="C57" i="11"/>
  <c r="F57" i="11"/>
  <c r="D57" i="11"/>
  <c r="I57" i="11" s="1"/>
  <c r="G57" i="11" l="1"/>
  <c r="H57" i="11"/>
  <c r="J57" i="11" l="1"/>
  <c r="B58" i="11" s="1"/>
  <c r="E58" i="11" l="1"/>
  <c r="F58" i="11"/>
  <c r="C58" i="11"/>
  <c r="D58" i="11"/>
  <c r="I58" i="11" s="1"/>
  <c r="H58" i="11" l="1"/>
  <c r="G58" i="11"/>
  <c r="J58" i="11"/>
  <c r="B59" i="11" s="1"/>
  <c r="F59" i="11" l="1"/>
  <c r="E59" i="11"/>
  <c r="D59" i="11"/>
  <c r="I59" i="11" s="1"/>
  <c r="C59" i="11"/>
  <c r="H59" i="11" l="1"/>
  <c r="J59" i="11" s="1"/>
  <c r="B60" i="11" s="1"/>
  <c r="G59" i="11"/>
  <c r="D60" i="11" l="1"/>
  <c r="I60" i="11" s="1"/>
  <c r="E60" i="11"/>
  <c r="C60" i="11"/>
  <c r="F60" i="11"/>
  <c r="G60" i="11" s="1"/>
  <c r="H60" i="11" l="1"/>
  <c r="M27" i="11"/>
  <c r="O27" i="11"/>
  <c r="G9" i="2" l="1"/>
  <c r="J60" i="11"/>
  <c r="B61" i="11" s="1"/>
  <c r="C61" i="11" s="1"/>
  <c r="N27" i="11"/>
  <c r="H9" i="2" l="1"/>
  <c r="O9" i="2" s="1"/>
  <c r="F61" i="11"/>
  <c r="E61" i="11"/>
  <c r="D61" i="11"/>
  <c r="I61" i="11" s="1"/>
  <c r="P9" i="2" l="1"/>
  <c r="C78" i="2" s="1"/>
  <c r="I9" i="2"/>
  <c r="M9" i="2"/>
  <c r="T9" i="2" s="1"/>
  <c r="G61" i="11"/>
  <c r="H61" i="11"/>
  <c r="J61" i="11" s="1"/>
  <c r="B62" i="11" s="1"/>
  <c r="D78" i="2" l="1"/>
  <c r="E62" i="11"/>
  <c r="C62" i="11"/>
  <c r="F62" i="11"/>
  <c r="D62" i="11"/>
  <c r="I62" i="11" s="1"/>
  <c r="H62" i="11" l="1"/>
  <c r="J62" i="11" s="1"/>
  <c r="B63" i="11" s="1"/>
  <c r="D63" i="11" s="1"/>
  <c r="I63" i="11" s="1"/>
  <c r="G62" i="11"/>
  <c r="F63" i="11" l="1"/>
  <c r="C63" i="11"/>
  <c r="E63" i="11"/>
  <c r="G63" i="11" l="1"/>
  <c r="H63" i="11"/>
  <c r="J63" i="11" s="1"/>
  <c r="B64" i="11" s="1"/>
  <c r="F64" i="11" s="1"/>
  <c r="D64" i="11" l="1"/>
  <c r="I64" i="11" s="1"/>
  <c r="E64" i="11"/>
  <c r="G64" i="11" s="1"/>
  <c r="C64" i="11"/>
  <c r="H64" i="11" l="1"/>
  <c r="J64" i="11" s="1"/>
  <c r="B65" i="11" s="1"/>
  <c r="D65" i="11" s="1"/>
  <c r="I65" i="11" s="1"/>
  <c r="E65" i="11" l="1"/>
  <c r="F65" i="11"/>
  <c r="H65" i="11" s="1"/>
  <c r="J65" i="11" s="1"/>
  <c r="B66" i="11" s="1"/>
  <c r="D66" i="11" s="1"/>
  <c r="I66" i="11" s="1"/>
  <c r="C65" i="11"/>
  <c r="G65" i="11"/>
  <c r="E66" i="11" l="1"/>
  <c r="C66" i="11"/>
  <c r="F66" i="11"/>
  <c r="G66" i="11" l="1"/>
  <c r="H66" i="11"/>
  <c r="J66" i="11" s="1"/>
  <c r="B67" i="11" s="1"/>
  <c r="D67" i="11" s="1"/>
  <c r="I67" i="11" s="1"/>
  <c r="C67" i="11" l="1"/>
  <c r="E67" i="11"/>
  <c r="F67" i="11"/>
  <c r="G67" i="11" l="1"/>
  <c r="H67" i="11"/>
  <c r="J67" i="11" s="1"/>
  <c r="B68" i="11" s="1"/>
  <c r="C68" i="11" s="1"/>
  <c r="F68" i="11" l="1"/>
  <c r="D68" i="11"/>
  <c r="I68" i="11" s="1"/>
  <c r="E68" i="11"/>
  <c r="G68" i="11" l="1"/>
  <c r="H68" i="11"/>
  <c r="J68" i="11" s="1"/>
  <c r="B69" i="11" s="1"/>
  <c r="E69" i="11" s="1"/>
  <c r="D69" i="11" l="1"/>
  <c r="I69" i="11" s="1"/>
  <c r="F69" i="11"/>
  <c r="G69" i="11" s="1"/>
  <c r="C69" i="11"/>
  <c r="H69" i="11" l="1"/>
  <c r="J69" i="11" s="1"/>
  <c r="B70" i="11" s="1"/>
  <c r="D70" i="11" s="1"/>
  <c r="I70" i="11" s="1"/>
  <c r="E70" i="11" l="1"/>
  <c r="C70" i="11"/>
  <c r="F70" i="11"/>
  <c r="G70" i="11" l="1"/>
  <c r="H70" i="11"/>
  <c r="J70" i="11" s="1"/>
  <c r="B71" i="11" s="1"/>
  <c r="E71" i="11" s="1"/>
  <c r="F71" i="11" l="1"/>
  <c r="G71" i="11" s="1"/>
  <c r="C71" i="11"/>
  <c r="D71" i="11"/>
  <c r="I71" i="11" s="1"/>
  <c r="H71" i="11" s="1"/>
  <c r="J71" i="11" s="1"/>
  <c r="B72" i="11" s="1"/>
  <c r="F72" i="11" s="1"/>
  <c r="C72" i="11" l="1"/>
  <c r="E72" i="11"/>
  <c r="G72" i="11" s="1"/>
  <c r="M28" i="11" s="1"/>
  <c r="D72" i="11"/>
  <c r="I72" i="11" s="1"/>
  <c r="H72" i="11" l="1"/>
  <c r="N28" i="11" s="1"/>
  <c r="H10" i="2" s="1"/>
  <c r="I10" i="2" s="1"/>
  <c r="O28" i="11"/>
  <c r="G10" i="2" s="1"/>
  <c r="J72" i="11" l="1"/>
  <c r="B73" i="11" s="1"/>
  <c r="E73" i="11" s="1"/>
  <c r="M10" i="2"/>
  <c r="T10" i="2" s="1"/>
  <c r="O10" i="2"/>
  <c r="F73" i="11" l="1"/>
  <c r="G73" i="11" s="1"/>
  <c r="C73" i="11"/>
  <c r="D73" i="11"/>
  <c r="I73" i="11" s="1"/>
  <c r="H73" i="11" s="1"/>
  <c r="J73" i="11" s="1"/>
  <c r="B74" i="11" s="1"/>
  <c r="D74" i="11" s="1"/>
  <c r="I74" i="11" s="1"/>
  <c r="P10" i="2"/>
  <c r="C79" i="2" s="1"/>
  <c r="E74" i="11" l="1"/>
  <c r="C74" i="11"/>
  <c r="F74" i="11"/>
  <c r="D79" i="2"/>
  <c r="G74" i="11" l="1"/>
  <c r="H74" i="11"/>
  <c r="J74" i="11" s="1"/>
  <c r="B75" i="11" s="1"/>
  <c r="F75" i="11" s="1"/>
  <c r="C75" i="11" l="1"/>
  <c r="E75" i="11"/>
  <c r="G75" i="11" s="1"/>
  <c r="D75" i="11"/>
  <c r="I75" i="11" s="1"/>
  <c r="H75" i="11" l="1"/>
  <c r="J75" i="11" s="1"/>
  <c r="B76" i="11" s="1"/>
  <c r="E76" i="11" s="1"/>
  <c r="C76" i="11" l="1"/>
  <c r="D76" i="11"/>
  <c r="I76" i="11" s="1"/>
  <c r="F76" i="11"/>
  <c r="H76" i="11" l="1"/>
  <c r="J76" i="11" s="1"/>
  <c r="B77" i="11" s="1"/>
  <c r="G76" i="11"/>
  <c r="E77" i="11" l="1"/>
  <c r="F77" i="11"/>
  <c r="C77" i="11"/>
  <c r="D77" i="11"/>
  <c r="I77" i="11" s="1"/>
  <c r="H77" i="11" l="1"/>
  <c r="J77" i="11" s="1"/>
  <c r="B78" i="11" s="1"/>
  <c r="G77" i="11"/>
  <c r="D78" i="11" l="1"/>
  <c r="I78" i="11" s="1"/>
  <c r="F78" i="11"/>
  <c r="C78" i="11"/>
  <c r="E78" i="11"/>
  <c r="H78" i="11" l="1"/>
  <c r="J78" i="11" s="1"/>
  <c r="B79" i="11" s="1"/>
  <c r="E79" i="11" s="1"/>
  <c r="G78" i="11"/>
  <c r="F79" i="11" l="1"/>
  <c r="D79" i="11"/>
  <c r="I79" i="11" s="1"/>
  <c r="C79" i="11"/>
  <c r="H79" i="11"/>
  <c r="J79" i="11" s="1"/>
  <c r="B80" i="11" s="1"/>
  <c r="D80" i="11" s="1"/>
  <c r="I80" i="11" s="1"/>
  <c r="G79" i="11"/>
  <c r="F80" i="11" l="1"/>
  <c r="E80" i="11"/>
  <c r="C80" i="11"/>
  <c r="H80" i="11" l="1"/>
  <c r="J80" i="11" s="1"/>
  <c r="B81" i="11" s="1"/>
  <c r="E81" i="11" s="1"/>
  <c r="G80" i="11"/>
  <c r="F81" i="11" l="1"/>
  <c r="G81" i="11" s="1"/>
  <c r="D81" i="11"/>
  <c r="I81" i="11" s="1"/>
  <c r="C81" i="11"/>
  <c r="H81" i="11"/>
  <c r="J81" i="11" s="1"/>
  <c r="B82" i="11" s="1"/>
  <c r="D82" i="11" s="1"/>
  <c r="I82" i="11" s="1"/>
  <c r="E82" i="11" l="1"/>
  <c r="C82" i="11"/>
  <c r="F82" i="11"/>
  <c r="G82" i="11" s="1"/>
  <c r="H82" i="11" l="1"/>
  <c r="J82" i="11" s="1"/>
  <c r="B83" i="11" s="1"/>
  <c r="E83" i="11" s="1"/>
  <c r="D83" i="11" l="1"/>
  <c r="I83" i="11" s="1"/>
  <c r="C83" i="11"/>
  <c r="F83" i="11"/>
  <c r="G83" i="11" s="1"/>
  <c r="H83" i="11" l="1"/>
  <c r="J83" i="11" s="1"/>
  <c r="B84" i="11" s="1"/>
  <c r="F84" i="11" l="1"/>
  <c r="C84" i="11"/>
  <c r="D84" i="11"/>
  <c r="I84" i="11" s="1"/>
  <c r="O29" i="11" s="1"/>
  <c r="G11" i="2" s="1"/>
  <c r="E84" i="11"/>
  <c r="G84" i="11" s="1"/>
  <c r="M29" i="11" s="1"/>
  <c r="H84" i="11" l="1"/>
  <c r="N29" i="11" l="1"/>
  <c r="H11" i="2" s="1"/>
  <c r="J84" i="11"/>
  <c r="B85" i="11" s="1"/>
  <c r="E85" i="11" l="1"/>
  <c r="F85" i="11"/>
  <c r="C85" i="11"/>
  <c r="D85" i="11"/>
  <c r="I85" i="11" s="1"/>
  <c r="O11" i="2"/>
  <c r="P11" i="2" s="1"/>
  <c r="C80" i="2" s="1"/>
  <c r="D80" i="2" s="1"/>
  <c r="M11" i="2"/>
  <c r="T11" i="2" s="1"/>
  <c r="I11" i="2"/>
  <c r="H85" i="11" l="1"/>
  <c r="J85" i="11" s="1"/>
  <c r="B86" i="11" s="1"/>
  <c r="D86" i="11" s="1"/>
  <c r="I86" i="11" s="1"/>
  <c r="G85" i="11"/>
  <c r="F86" i="11" l="1"/>
  <c r="E86" i="11"/>
  <c r="C86" i="11"/>
  <c r="H86" i="11"/>
  <c r="J86" i="11" s="1"/>
  <c r="B87" i="11" s="1"/>
  <c r="G86" i="11" l="1"/>
  <c r="F87" i="11"/>
  <c r="E87" i="11"/>
  <c r="C87" i="11"/>
  <c r="D87" i="11"/>
  <c r="I87" i="11" s="1"/>
  <c r="G87" i="11" l="1"/>
  <c r="H87" i="11"/>
  <c r="J87" i="11" s="1"/>
  <c r="B88" i="11" s="1"/>
  <c r="D88" i="11" l="1"/>
  <c r="I88" i="11" s="1"/>
  <c r="C88" i="11"/>
  <c r="E88" i="11"/>
  <c r="F88" i="11"/>
  <c r="G88" i="11" l="1"/>
  <c r="H88" i="11"/>
  <c r="J88" i="11" s="1"/>
  <c r="B89" i="11" s="1"/>
  <c r="F89" i="11" l="1"/>
  <c r="C89" i="11"/>
  <c r="E89" i="11"/>
  <c r="G89" i="11" s="1"/>
  <c r="D89" i="11"/>
  <c r="I89" i="11" s="1"/>
  <c r="H89" i="11" l="1"/>
  <c r="J89" i="11" s="1"/>
  <c r="B90" i="11" s="1"/>
  <c r="F90" i="11" l="1"/>
  <c r="D90" i="11"/>
  <c r="I90" i="11" s="1"/>
  <c r="C90" i="11"/>
  <c r="E90" i="11"/>
  <c r="G90" i="11" l="1"/>
  <c r="H90" i="11"/>
  <c r="J90" i="11" s="1"/>
  <c r="B91" i="11" s="1"/>
  <c r="D91" i="11" l="1"/>
  <c r="I91" i="11" s="1"/>
  <c r="E91" i="11"/>
  <c r="F91" i="11"/>
  <c r="C91" i="11"/>
  <c r="H91" i="11" l="1"/>
  <c r="J91" i="11" s="1"/>
  <c r="B92" i="11" s="1"/>
  <c r="C92" i="11" s="1"/>
  <c r="G91" i="11"/>
  <c r="D92" i="11" l="1"/>
  <c r="I92" i="11" s="1"/>
  <c r="F92" i="11"/>
  <c r="E92" i="11"/>
  <c r="G92" i="11" l="1"/>
  <c r="H92" i="11"/>
  <c r="J92" i="11" s="1"/>
  <c r="B93" i="11" s="1"/>
  <c r="D93" i="11" s="1"/>
  <c r="I93" i="11" s="1"/>
  <c r="C93" i="11" l="1"/>
  <c r="E93" i="11"/>
  <c r="F93" i="11"/>
  <c r="G93" i="11" l="1"/>
  <c r="H93" i="11"/>
  <c r="J93" i="11" s="1"/>
  <c r="B94" i="11" s="1"/>
  <c r="E94" i="11" s="1"/>
  <c r="D94" i="11" l="1"/>
  <c r="I94" i="11" s="1"/>
  <c r="C94" i="11"/>
  <c r="F94" i="11"/>
  <c r="H94" i="11" s="1"/>
  <c r="J94" i="11" s="1"/>
  <c r="B95" i="11" s="1"/>
  <c r="G94" i="11" l="1"/>
  <c r="F95" i="11"/>
  <c r="D95" i="11"/>
  <c r="C95" i="11"/>
  <c r="E95" i="11"/>
  <c r="G95" i="11" l="1"/>
  <c r="I95" i="11"/>
  <c r="H95" i="11" s="1"/>
  <c r="J95" i="11" s="1"/>
  <c r="B96" i="11" s="1"/>
  <c r="C96" i="11" l="1"/>
  <c r="F96" i="11"/>
  <c r="E96" i="11"/>
  <c r="D96" i="11"/>
  <c r="I96" i="11" s="1"/>
  <c r="O30" i="11" s="1"/>
  <c r="G12" i="2" s="1"/>
  <c r="G96" i="11" l="1"/>
  <c r="M30" i="11" s="1"/>
  <c r="H96" i="11"/>
  <c r="J96" i="11" l="1"/>
  <c r="B97" i="11" s="1"/>
  <c r="N30" i="11"/>
  <c r="H12" i="2" s="1"/>
  <c r="I12" i="2" l="1"/>
  <c r="O12" i="2"/>
  <c r="P12" i="2" s="1"/>
  <c r="C81" i="2" s="1"/>
  <c r="D81" i="2" s="1"/>
  <c r="M12" i="2"/>
  <c r="T12" i="2" s="1"/>
  <c r="C97" i="11"/>
  <c r="D97" i="11"/>
  <c r="I97" i="11" s="1"/>
  <c r="F97" i="11"/>
  <c r="E97" i="11"/>
  <c r="H97" i="11" l="1"/>
  <c r="J97" i="11" s="1"/>
  <c r="B98" i="11" s="1"/>
  <c r="F98" i="11" s="1"/>
  <c r="G97" i="11"/>
  <c r="C98" i="11" l="1"/>
  <c r="E98" i="11"/>
  <c r="G98" i="11" s="1"/>
  <c r="D98" i="11"/>
  <c r="I98" i="11" s="1"/>
  <c r="H98" i="11" l="1"/>
  <c r="J98" i="11" s="1"/>
  <c r="B99" i="11" s="1"/>
  <c r="E99" i="11" s="1"/>
  <c r="C99" i="11" l="1"/>
  <c r="F99" i="11"/>
  <c r="G99" i="11" s="1"/>
  <c r="D99" i="11"/>
  <c r="I99" i="11" s="1"/>
  <c r="H99" i="11" l="1"/>
  <c r="J99" i="11" s="1"/>
  <c r="B100" i="11" s="1"/>
  <c r="F100" i="11" s="1"/>
  <c r="E100" i="11" l="1"/>
  <c r="G100" i="11" s="1"/>
  <c r="C100" i="11"/>
  <c r="D100" i="11"/>
  <c r="I100" i="11" s="1"/>
  <c r="H100" i="11" s="1"/>
  <c r="J100" i="11" s="1"/>
  <c r="B101" i="11" s="1"/>
  <c r="F101" i="11" l="1"/>
  <c r="D101" i="11"/>
  <c r="I101" i="11" s="1"/>
  <c r="E101" i="11"/>
  <c r="C101" i="11"/>
  <c r="G101" i="11" l="1"/>
  <c r="H101" i="11"/>
  <c r="J101" i="11" s="1"/>
  <c r="B102" i="11" s="1"/>
  <c r="C102" i="11" l="1"/>
  <c r="D102" i="11"/>
  <c r="I102" i="11" s="1"/>
  <c r="F102" i="11"/>
  <c r="E102" i="11"/>
  <c r="G102" i="11" l="1"/>
  <c r="H102" i="11"/>
  <c r="J102" i="11" s="1"/>
  <c r="B103" i="11" s="1"/>
  <c r="F103" i="11" l="1"/>
  <c r="D103" i="11"/>
  <c r="I103" i="11" s="1"/>
  <c r="E103" i="11"/>
  <c r="G103" i="11" s="1"/>
  <c r="C103" i="11"/>
  <c r="H103" i="11" l="1"/>
  <c r="J103" i="11" s="1"/>
  <c r="B104" i="11" s="1"/>
  <c r="D104" i="11" l="1"/>
  <c r="I104" i="11" s="1"/>
  <c r="E104" i="11"/>
  <c r="C104" i="11"/>
  <c r="F104" i="11"/>
  <c r="H104" i="11" s="1"/>
  <c r="J104" i="11" s="1"/>
  <c r="B105" i="11" s="1"/>
  <c r="G104" i="11" l="1"/>
  <c r="E105" i="11"/>
  <c r="F105" i="11"/>
  <c r="C105" i="11"/>
  <c r="D105" i="11"/>
  <c r="I105" i="11" s="1"/>
  <c r="G105" i="11"/>
  <c r="H105" i="11" l="1"/>
  <c r="J105" i="11" s="1"/>
  <c r="B106" i="11" s="1"/>
  <c r="E106" i="11" s="1"/>
  <c r="C106" i="11" l="1"/>
  <c r="D106" i="11"/>
  <c r="I106" i="11" s="1"/>
  <c r="F106" i="11"/>
  <c r="G106" i="11" l="1"/>
  <c r="H106" i="11"/>
  <c r="J106" i="11" s="1"/>
  <c r="B107" i="11" s="1"/>
  <c r="F107" i="11" l="1"/>
  <c r="D107" i="11"/>
  <c r="I107" i="11" s="1"/>
  <c r="E107" i="11"/>
  <c r="G107" i="11" s="1"/>
  <c r="C107" i="11"/>
  <c r="H107" i="11" l="1"/>
  <c r="J107" i="11" s="1"/>
  <c r="B108" i="11" s="1"/>
  <c r="F108" i="11" l="1"/>
  <c r="D108" i="11"/>
  <c r="I108" i="11" s="1"/>
  <c r="O31" i="11" s="1"/>
  <c r="G13" i="2" s="1"/>
  <c r="E108" i="11"/>
  <c r="G108" i="11" s="1"/>
  <c r="M31" i="11" s="1"/>
  <c r="C108" i="11"/>
  <c r="H108" i="11" l="1"/>
  <c r="N31" i="11" l="1"/>
  <c r="H13" i="2" s="1"/>
  <c r="J108" i="11"/>
  <c r="B109" i="11" s="1"/>
  <c r="C109" i="11" l="1"/>
  <c r="D109" i="11"/>
  <c r="I109" i="11" s="1"/>
  <c r="E109" i="11"/>
  <c r="H109" i="11" s="1"/>
  <c r="J109" i="11" s="1"/>
  <c r="B110" i="11" s="1"/>
  <c r="F109" i="11"/>
  <c r="G109" i="11" s="1"/>
  <c r="I13" i="2"/>
  <c r="O13" i="2"/>
  <c r="M13" i="2"/>
  <c r="P13" i="2" l="1"/>
  <c r="T13" i="2"/>
  <c r="F110" i="11"/>
  <c r="C110" i="11"/>
  <c r="D110" i="11"/>
  <c r="I110" i="11" s="1"/>
  <c r="H110" i="11" s="1"/>
  <c r="E110" i="11"/>
  <c r="G110" i="11" s="1"/>
  <c r="J110" i="11" l="1"/>
  <c r="B111" i="11" s="1"/>
  <c r="E111" i="11" s="1"/>
  <c r="G111" i="11" s="1"/>
  <c r="C82" i="2"/>
  <c r="D82" i="2" s="1"/>
  <c r="H111" i="11" l="1"/>
  <c r="J111" i="11"/>
  <c r="B112" i="11" s="1"/>
  <c r="D112" i="11" s="1"/>
  <c r="I112" i="11" s="1"/>
  <c r="D111" i="11"/>
  <c r="I111" i="11" s="1"/>
  <c r="F111" i="11"/>
  <c r="C111" i="11"/>
  <c r="C112" i="11"/>
  <c r="E112" i="11" l="1"/>
  <c r="H112" i="11" s="1"/>
  <c r="J112" i="11" s="1"/>
  <c r="B113" i="11" s="1"/>
  <c r="F113" i="11" s="1"/>
  <c r="F112" i="11"/>
  <c r="G112" i="11" s="1"/>
  <c r="C113" i="11"/>
  <c r="E113" i="11"/>
  <c r="G113" i="11" s="1"/>
  <c r="D113" i="11" l="1"/>
  <c r="I113" i="11" s="1"/>
  <c r="H113" i="11"/>
  <c r="J113" i="11" s="1"/>
  <c r="B114" i="11" s="1"/>
  <c r="C114" i="11" s="1"/>
  <c r="E114" i="11" l="1"/>
  <c r="D114" i="11"/>
  <c r="I114" i="11" s="1"/>
  <c r="F114" i="11"/>
  <c r="G114" i="11" l="1"/>
  <c r="H114" i="11"/>
  <c r="J114" i="11" s="1"/>
  <c r="B115" i="11" s="1"/>
  <c r="C115" i="11" l="1"/>
  <c r="F115" i="11"/>
  <c r="E115" i="11"/>
  <c r="G115" i="11" s="1"/>
  <c r="D115" i="11"/>
  <c r="I115" i="11" s="1"/>
  <c r="H115" i="11" l="1"/>
  <c r="J115" i="11" s="1"/>
  <c r="B116" i="11" s="1"/>
  <c r="E116" i="11" l="1"/>
  <c r="D116" i="11"/>
  <c r="I116" i="11" s="1"/>
  <c r="C116" i="11"/>
  <c r="F116" i="11"/>
  <c r="H116" i="11" s="1"/>
  <c r="G116" i="11" l="1"/>
  <c r="J116" i="11"/>
  <c r="B117" i="11" s="1"/>
  <c r="E117" i="11" l="1"/>
  <c r="F117" i="11"/>
  <c r="C117" i="11"/>
  <c r="D117" i="11"/>
  <c r="I117" i="11" s="1"/>
  <c r="H117" i="11"/>
  <c r="J117" i="11" s="1"/>
  <c r="B118" i="11" s="1"/>
  <c r="G117" i="11"/>
  <c r="E118" i="11" l="1"/>
  <c r="F118" i="11"/>
  <c r="C118" i="11"/>
  <c r="D118" i="11"/>
  <c r="I118" i="11" s="1"/>
  <c r="H118" i="11" s="1"/>
  <c r="J118" i="11" s="1"/>
  <c r="B119" i="11" s="1"/>
  <c r="G118" i="11"/>
  <c r="P25" i="2"/>
  <c r="D119" i="11" l="1"/>
  <c r="I119" i="11" s="1"/>
  <c r="F119" i="11"/>
  <c r="C119" i="11"/>
  <c r="E119" i="11"/>
  <c r="H119" i="11" s="1"/>
  <c r="J119" i="11" s="1"/>
  <c r="B120" i="11" s="1"/>
  <c r="P26" i="2"/>
  <c r="C94" i="2"/>
  <c r="F120" i="11" l="1"/>
  <c r="C120" i="11"/>
  <c r="D120" i="11"/>
  <c r="I120" i="11" s="1"/>
  <c r="O32" i="11" s="1"/>
  <c r="G14" i="2" s="1"/>
  <c r="E120" i="11"/>
  <c r="H120" i="11"/>
  <c r="G119" i="11"/>
  <c r="P27" i="2"/>
  <c r="C95" i="2"/>
  <c r="P34" i="2"/>
  <c r="J120" i="11"/>
  <c r="B121" i="11" s="1"/>
  <c r="D121" i="11" s="1"/>
  <c r="I121" i="11" s="1"/>
  <c r="N32" i="11"/>
  <c r="H14" i="2" s="1"/>
  <c r="I14" i="2" s="1"/>
  <c r="M14" i="2" l="1"/>
  <c r="O14" i="2"/>
  <c r="G120" i="11"/>
  <c r="M32" i="11" s="1"/>
  <c r="C96" i="2"/>
  <c r="P28" i="2"/>
  <c r="D95" i="2"/>
  <c r="C103" i="2"/>
  <c r="P35" i="2"/>
  <c r="E121" i="11"/>
  <c r="H121" i="11" s="1"/>
  <c r="F121" i="11"/>
  <c r="G121" i="11" s="1"/>
  <c r="C121" i="11"/>
  <c r="P14" i="2" l="1"/>
  <c r="C83" i="2" s="1"/>
  <c r="D83" i="2" s="1"/>
  <c r="T14" i="2"/>
  <c r="C97" i="2"/>
  <c r="D97" i="2" s="1"/>
  <c r="P29" i="2"/>
  <c r="D96" i="2"/>
  <c r="C104" i="2"/>
  <c r="D104" i="2" s="1"/>
  <c r="P36" i="2"/>
  <c r="C105" i="2" s="1"/>
  <c r="J121" i="11"/>
  <c r="B122" i="11" s="1"/>
  <c r="F122" i="11" s="1"/>
  <c r="C98" i="2" l="1"/>
  <c r="P30" i="2"/>
  <c r="D98" i="2"/>
  <c r="D105" i="2"/>
  <c r="E122" i="11"/>
  <c r="G122" i="11" s="1"/>
  <c r="D122" i="11"/>
  <c r="I122" i="11" s="1"/>
  <c r="C122" i="11"/>
  <c r="C99" i="2" l="1"/>
  <c r="D99" i="2" s="1"/>
  <c r="P31" i="2"/>
  <c r="P32" i="2" s="1"/>
  <c r="H122" i="11"/>
  <c r="J122" i="11" s="1"/>
  <c r="B123" i="11" s="1"/>
  <c r="P33" i="2" l="1"/>
  <c r="C102" i="2" s="1"/>
  <c r="C101" i="2"/>
  <c r="C100" i="2"/>
  <c r="C123" i="11"/>
  <c r="F123" i="11"/>
  <c r="E123" i="11"/>
  <c r="D123" i="11"/>
  <c r="D102" i="2" l="1"/>
  <c r="D103" i="2"/>
  <c r="D100" i="2"/>
  <c r="D101" i="2"/>
  <c r="I123" i="11"/>
  <c r="H123" i="11"/>
  <c r="J123" i="11" s="1"/>
  <c r="B124" i="11" s="1"/>
  <c r="G123" i="11"/>
  <c r="F124" i="11" l="1"/>
  <c r="C124" i="11"/>
  <c r="D124" i="11"/>
  <c r="I124" i="11" s="1"/>
  <c r="E124" i="11"/>
  <c r="G124" i="11" s="1"/>
  <c r="H124" i="11" l="1"/>
  <c r="J124" i="11" s="1"/>
  <c r="B125" i="11" s="1"/>
  <c r="D125" i="11" l="1"/>
  <c r="I125" i="11" s="1"/>
  <c r="C125" i="11"/>
  <c r="E125" i="11"/>
  <c r="F125" i="11"/>
  <c r="G125" i="11" s="1"/>
  <c r="H125" i="11" l="1"/>
  <c r="J125" i="11" s="1"/>
  <c r="B126" i="11" s="1"/>
  <c r="F126" i="11" l="1"/>
  <c r="D126" i="11"/>
  <c r="I126" i="11" s="1"/>
  <c r="E126" i="11"/>
  <c r="C126" i="11"/>
  <c r="G126" i="11"/>
  <c r="H126" i="11" l="1"/>
  <c r="J126" i="11" s="1"/>
  <c r="B127" i="11" s="1"/>
  <c r="E127" i="11" l="1"/>
  <c r="D127" i="11"/>
  <c r="C127" i="11"/>
  <c r="F127" i="11"/>
  <c r="I127" i="11"/>
  <c r="H127" i="11"/>
  <c r="J127" i="11" s="1"/>
  <c r="B128" i="11" s="1"/>
  <c r="D128" i="11" l="1"/>
  <c r="F128" i="11"/>
  <c r="C128" i="11"/>
  <c r="E128" i="11"/>
  <c r="G128" i="11" s="1"/>
  <c r="I128" i="11"/>
  <c r="H128" i="11"/>
  <c r="J128" i="11" s="1"/>
  <c r="B129" i="11" s="1"/>
  <c r="G127" i="11"/>
  <c r="D129" i="11" l="1"/>
  <c r="I129" i="11" s="1"/>
  <c r="E129" i="11"/>
  <c r="F129" i="11"/>
  <c r="C129" i="11"/>
  <c r="H129" i="11"/>
  <c r="J129" i="11"/>
  <c r="B130" i="11" s="1"/>
  <c r="G129" i="11"/>
  <c r="C130" i="11" l="1"/>
  <c r="D130" i="11"/>
  <c r="I130" i="11" s="1"/>
  <c r="E130" i="11"/>
  <c r="F130" i="11"/>
  <c r="G130" i="11" s="1"/>
  <c r="H130" i="11" l="1"/>
  <c r="J130" i="11" s="1"/>
  <c r="B131" i="11" s="1"/>
  <c r="F131" i="11" l="1"/>
  <c r="E131" i="11"/>
  <c r="C131" i="11"/>
  <c r="D131" i="11"/>
  <c r="I131" i="11" s="1"/>
  <c r="H131" i="11"/>
  <c r="J131" i="11"/>
  <c r="B132" i="11" s="1"/>
  <c r="D132" i="11" l="1"/>
  <c r="C132" i="11"/>
  <c r="F132" i="11"/>
  <c r="E132" i="11"/>
  <c r="G132" i="11" s="1"/>
  <c r="I132" i="11"/>
  <c r="O33" i="11" s="1"/>
  <c r="G15" i="2" s="1"/>
  <c r="G131" i="11"/>
  <c r="H132" i="11"/>
  <c r="M33" i="11" l="1"/>
  <c r="J132" i="11"/>
  <c r="B133" i="11" s="1"/>
  <c r="N33" i="11"/>
  <c r="H15"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O15" i="2" l="1"/>
  <c r="M15" i="2"/>
  <c r="D133" i="11"/>
  <c r="E133" i="11"/>
  <c r="G133" i="11"/>
  <c r="F133" i="11"/>
  <c r="C133" i="11"/>
  <c r="I133" i="11"/>
  <c r="T15" i="2" l="1"/>
  <c r="T37" i="2" s="1"/>
  <c r="C49" i="2" s="1"/>
  <c r="C60" i="2" s="1"/>
  <c r="M37" i="2"/>
  <c r="P15" i="2"/>
  <c r="O37" i="2"/>
  <c r="C66" i="2"/>
  <c r="C80" i="1" s="1"/>
  <c r="C67" i="2"/>
  <c r="C74" i="1" s="1"/>
  <c r="H133" i="11"/>
  <c r="J133" i="11"/>
  <c r="B134" i="11" s="1"/>
  <c r="P16" i="2" l="1"/>
  <c r="C84" i="2"/>
  <c r="D84" i="2" s="1"/>
  <c r="E74" i="1"/>
  <c r="E80" i="1"/>
  <c r="D17" i="3"/>
  <c r="C53" i="1"/>
  <c r="E53" i="1" s="1"/>
  <c r="E134" i="11"/>
  <c r="D134" i="11"/>
  <c r="C134" i="11"/>
  <c r="F134" i="11"/>
  <c r="G134" i="11" s="1"/>
  <c r="C85" i="2" l="1"/>
  <c r="D85" i="2" s="1"/>
  <c r="P17" i="2"/>
  <c r="I134" i="11"/>
  <c r="H134" i="11" s="1"/>
  <c r="J134" i="11" s="1"/>
  <c r="B135" i="11" s="1"/>
  <c r="P18" i="2" l="1"/>
  <c r="C86" i="2"/>
  <c r="D86" i="2" s="1"/>
  <c r="D135" i="11"/>
  <c r="C135" i="11"/>
  <c r="F135" i="11"/>
  <c r="E135" i="11"/>
  <c r="G135" i="11" s="1"/>
  <c r="I135" i="11"/>
  <c r="H135" i="11"/>
  <c r="J135" i="11" s="1"/>
  <c r="B136" i="11" s="1"/>
  <c r="F136" i="11" s="1"/>
  <c r="C87" i="2" l="1"/>
  <c r="D87" i="2" s="1"/>
  <c r="P19" i="2"/>
  <c r="D136" i="11"/>
  <c r="I136" i="11"/>
  <c r="E136" i="11"/>
  <c r="C136" i="11"/>
  <c r="H136" i="11"/>
  <c r="J136" i="11" s="1"/>
  <c r="B137" i="11" s="1"/>
  <c r="E137" i="11" s="1"/>
  <c r="G136" i="11"/>
  <c r="P20" i="2" l="1"/>
  <c r="C88" i="2"/>
  <c r="D88" i="2" s="1"/>
  <c r="D137" i="11"/>
  <c r="I137" i="11" s="1"/>
  <c r="F137" i="11"/>
  <c r="C137" i="11"/>
  <c r="G137" i="11"/>
  <c r="H137" i="11"/>
  <c r="J137" i="11"/>
  <c r="B138" i="11" s="1"/>
  <c r="P21" i="2" l="1"/>
  <c r="C89" i="2"/>
  <c r="D89" i="2" s="1"/>
  <c r="D138" i="11"/>
  <c r="C138" i="11"/>
  <c r="I138" i="11"/>
  <c r="E138" i="11"/>
  <c r="F138" i="11"/>
  <c r="C90" i="2" l="1"/>
  <c r="D90" i="2" s="1"/>
  <c r="P22" i="2"/>
  <c r="H138" i="11"/>
  <c r="J138" i="11" s="1"/>
  <c r="B139" i="11" s="1"/>
  <c r="D139" i="11" s="1"/>
  <c r="I139" i="11" s="1"/>
  <c r="G138" i="11"/>
  <c r="P23" i="2" l="1"/>
  <c r="C91" i="2"/>
  <c r="D91" i="2" s="1"/>
  <c r="F139" i="11"/>
  <c r="E139" i="11"/>
  <c r="C139" i="11"/>
  <c r="G139" i="11"/>
  <c r="H139" i="11"/>
  <c r="J139" i="11" s="1"/>
  <c r="B140" i="11" s="1"/>
  <c r="P24" i="2" l="1"/>
  <c r="C92" i="2"/>
  <c r="C140" i="11"/>
  <c r="F140" i="11"/>
  <c r="D140" i="11"/>
  <c r="E140" i="11"/>
  <c r="I140" i="11"/>
  <c r="D92" i="2" l="1"/>
  <c r="C93" i="2"/>
  <c r="D94" i="2" s="1"/>
  <c r="P37" i="2"/>
  <c r="H140" i="11"/>
  <c r="J140" i="11" s="1"/>
  <c r="B141" i="11" s="1"/>
  <c r="G140" i="11"/>
  <c r="D93" i="2" l="1"/>
  <c r="C71" i="2"/>
  <c r="C67" i="1" s="1"/>
  <c r="E67" i="1" s="1"/>
  <c r="D141" i="11"/>
  <c r="F141" i="11"/>
  <c r="C141" i="11"/>
  <c r="E141" i="11"/>
  <c r="G141" i="11" s="1"/>
  <c r="I141" i="11"/>
  <c r="H141" i="11" l="1"/>
  <c r="J141" i="11" s="1"/>
  <c r="B142" i="11" s="1"/>
  <c r="D142" i="11" l="1"/>
  <c r="I142" i="11" s="1"/>
  <c r="F142" i="11"/>
  <c r="E142" i="11"/>
  <c r="C142" i="11"/>
  <c r="H142" i="11" l="1"/>
  <c r="J142" i="11" s="1"/>
  <c r="B143" i="11" s="1"/>
  <c r="E143" i="11" s="1"/>
  <c r="G142" i="11"/>
  <c r="C143" i="11" l="1"/>
  <c r="D143" i="11"/>
  <c r="I143" i="11" s="1"/>
  <c r="H143" i="11" s="1"/>
  <c r="J143" i="11" s="1"/>
  <c r="B144" i="11" s="1"/>
  <c r="F144" i="11" s="1"/>
  <c r="F143" i="11"/>
  <c r="G143" i="11"/>
  <c r="D144" i="11" l="1"/>
  <c r="I144" i="11" s="1"/>
  <c r="O34" i="11" s="1"/>
  <c r="C144" i="11"/>
  <c r="E144" i="11"/>
  <c r="H144" i="11"/>
  <c r="G144" i="11"/>
  <c r="M34" i="11" s="1"/>
  <c r="J144" i="11" l="1"/>
  <c r="B145" i="11" s="1"/>
  <c r="F145" i="11" s="1"/>
  <c r="N34" i="11"/>
  <c r="D145" i="11" l="1"/>
  <c r="I145" i="11" s="1"/>
  <c r="E145" i="11"/>
  <c r="C145" i="11"/>
  <c r="H145" i="11" l="1"/>
  <c r="G145" i="11"/>
  <c r="J145" i="11"/>
  <c r="B146" i="11" s="1"/>
  <c r="D146" i="11" s="1"/>
  <c r="I146" i="11" s="1"/>
  <c r="F146" i="11" l="1"/>
  <c r="C146" i="11"/>
  <c r="E146" i="11"/>
  <c r="H146" i="11"/>
  <c r="J146" i="11" s="1"/>
  <c r="B147" i="11" s="1"/>
  <c r="G146" i="11"/>
  <c r="D147" i="11" l="1"/>
  <c r="I147" i="11" s="1"/>
  <c r="E147" i="11"/>
  <c r="H147" i="11" s="1"/>
  <c r="J147" i="11" s="1"/>
  <c r="B148" i="11" s="1"/>
  <c r="F147" i="11"/>
  <c r="C147" i="11"/>
  <c r="E148" i="11" l="1"/>
  <c r="D148" i="11"/>
  <c r="I148" i="11" s="1"/>
  <c r="F148" i="11"/>
  <c r="C148" i="11"/>
  <c r="H148" i="11"/>
  <c r="J148" i="11" s="1"/>
  <c r="B149" i="11" s="1"/>
  <c r="G148" i="11"/>
  <c r="G147" i="11"/>
  <c r="C149" i="11" l="1"/>
  <c r="E149" i="11"/>
  <c r="F149" i="11"/>
  <c r="D149" i="11"/>
  <c r="I149" i="11" s="1"/>
  <c r="H149" i="11"/>
  <c r="J149" i="11" s="1"/>
  <c r="B150" i="11" s="1"/>
  <c r="D150" i="11" s="1"/>
  <c r="I150" i="11" s="1"/>
  <c r="G149" i="11"/>
  <c r="E150" i="11" l="1"/>
  <c r="F150" i="11"/>
  <c r="C150" i="11"/>
  <c r="H150" i="11"/>
  <c r="J150" i="11" s="1"/>
  <c r="B151" i="11" s="1"/>
  <c r="G150" i="11" l="1"/>
  <c r="E151" i="11"/>
  <c r="D151" i="11"/>
  <c r="C151" i="11"/>
  <c r="F151" i="11"/>
  <c r="I151" i="11"/>
  <c r="H151" i="11" l="1"/>
  <c r="J151" i="11" s="1"/>
  <c r="B152" i="11" s="1"/>
  <c r="D152" i="11" s="1"/>
  <c r="G151" i="11"/>
  <c r="F152" i="11" l="1"/>
  <c r="C152" i="11"/>
  <c r="I152" i="11"/>
  <c r="E152" i="11"/>
  <c r="H152" i="11" l="1"/>
  <c r="J152" i="11" s="1"/>
  <c r="B153" i="11" s="1"/>
  <c r="F153" i="11" s="1"/>
  <c r="G152" i="11"/>
  <c r="C153" i="11" l="1"/>
  <c r="D153" i="11"/>
  <c r="I153" i="11" s="1"/>
  <c r="E153" i="11"/>
  <c r="G153" i="11"/>
  <c r="H153" i="11"/>
  <c r="J153" i="11" s="1"/>
  <c r="B154" i="11" s="1"/>
  <c r="D154" i="11" l="1"/>
  <c r="C154" i="11"/>
  <c r="I154" i="11"/>
  <c r="E154" i="11"/>
  <c r="F154" i="11"/>
  <c r="G154" i="11" l="1"/>
  <c r="H154" i="11"/>
  <c r="J154" i="11" s="1"/>
  <c r="B155" i="11" s="1"/>
  <c r="F155" i="11" l="1"/>
  <c r="C155" i="11"/>
  <c r="D155" i="11"/>
  <c r="E155" i="11"/>
  <c r="G155" i="11" s="1"/>
  <c r="I155" i="11" l="1"/>
  <c r="H155" i="11" s="1"/>
  <c r="J155" i="11" s="1"/>
  <c r="B156" i="11" s="1"/>
  <c r="F156" i="11" l="1"/>
  <c r="C156" i="11"/>
  <c r="E156" i="11"/>
  <c r="D156" i="11"/>
  <c r="G156" i="11"/>
  <c r="M35" i="11" s="1"/>
  <c r="I156" i="11" l="1"/>
  <c r="H156" i="11" l="1"/>
  <c r="O35" i="11"/>
  <c r="J156" i="11" l="1"/>
  <c r="B157" i="11" s="1"/>
  <c r="N35" i="11"/>
  <c r="C157" i="11" l="1"/>
  <c r="E157" i="11"/>
  <c r="D157" i="11"/>
  <c r="I157" i="11" s="1"/>
  <c r="F157" i="11"/>
  <c r="G157" i="11" s="1"/>
  <c r="H157" i="11" l="1"/>
  <c r="J157" i="11" l="1"/>
  <c r="B158" i="11" s="1"/>
  <c r="F158" i="11" l="1"/>
  <c r="E158" i="11"/>
  <c r="G158" i="11" s="1"/>
  <c r="C158" i="11"/>
  <c r="D158" i="11"/>
  <c r="I158" i="11" s="1"/>
  <c r="H158" i="11" s="1"/>
  <c r="J158" i="11" l="1"/>
  <c r="B159" i="11" s="1"/>
  <c r="C159" i="11" l="1"/>
  <c r="F159" i="11"/>
  <c r="E159" i="11"/>
  <c r="G159" i="11" s="1"/>
  <c r="D159" i="11"/>
  <c r="I159" i="11" s="1"/>
  <c r="H159" i="11"/>
  <c r="J159" i="11" l="1"/>
  <c r="B160" i="11" s="1"/>
  <c r="D160" i="11" l="1"/>
  <c r="I160" i="11"/>
  <c r="F160" i="11"/>
  <c r="E160" i="11"/>
  <c r="C160" i="11"/>
  <c r="H160" i="11"/>
  <c r="G160" i="11"/>
  <c r="J160" i="11" l="1"/>
  <c r="B161" i="11" s="1"/>
  <c r="E161" i="11" l="1"/>
  <c r="C161" i="11"/>
  <c r="D161" i="11"/>
  <c r="I161" i="11" s="1"/>
  <c r="F161" i="11"/>
  <c r="G161" i="11" s="1"/>
  <c r="H161" i="11"/>
  <c r="J161" i="11" l="1"/>
  <c r="B162" i="11" s="1"/>
  <c r="E162" i="11" l="1"/>
  <c r="C162" i="11"/>
  <c r="D162" i="11"/>
  <c r="I162" i="11" s="1"/>
  <c r="F162" i="11"/>
  <c r="G162" i="11"/>
  <c r="H162" i="11" l="1"/>
  <c r="J162" i="11" s="1"/>
  <c r="B163" i="11" s="1"/>
  <c r="C163" i="11" s="1"/>
  <c r="F163" i="11" l="1"/>
  <c r="H163" i="11" s="1"/>
  <c r="J163" i="11" s="1"/>
  <c r="B164" i="11" s="1"/>
  <c r="D164" i="11" s="1"/>
  <c r="I164" i="11" s="1"/>
  <c r="D163" i="11"/>
  <c r="I163" i="11" s="1"/>
  <c r="E163" i="11"/>
  <c r="G163" i="11"/>
  <c r="C164" i="11" l="1"/>
  <c r="E164" i="11"/>
  <c r="H164" i="11" s="1"/>
  <c r="J164" i="11" s="1"/>
  <c r="B165" i="11" s="1"/>
  <c r="D165" i="11" s="1"/>
  <c r="F164" i="11"/>
  <c r="G164" i="11"/>
  <c r="H165" i="11" l="1"/>
  <c r="J165" i="11" s="1"/>
  <c r="B166" i="11" s="1"/>
  <c r="F166" i="11" s="1"/>
  <c r="E165" i="11"/>
  <c r="G165" i="11" s="1"/>
  <c r="I165" i="11"/>
  <c r="C165" i="11"/>
  <c r="F165" i="11"/>
  <c r="C166" i="11" l="1"/>
  <c r="D166" i="11"/>
  <c r="E166" i="11"/>
  <c r="G166" i="11" s="1"/>
  <c r="I166" i="11"/>
  <c r="H166" i="11" s="1"/>
  <c r="J166" i="11" s="1"/>
  <c r="B167" i="11" s="1"/>
  <c r="E167" i="11" l="1"/>
  <c r="D167" i="11"/>
  <c r="I167" i="11" s="1"/>
  <c r="C167" i="11"/>
  <c r="F167" i="11"/>
  <c r="G167" i="11"/>
  <c r="H167" i="11" l="1"/>
  <c r="J167" i="11" s="1"/>
  <c r="B168" i="11" s="1"/>
  <c r="E168" i="11" l="1"/>
  <c r="C168" i="11"/>
  <c r="D168" i="11"/>
  <c r="I168" i="11" s="1"/>
  <c r="O36" i="11" s="1"/>
  <c r="F168" i="11"/>
  <c r="G168" i="11" s="1"/>
  <c r="M36" i="11" s="1"/>
  <c r="H168" i="11" l="1"/>
  <c r="J168" i="11" l="1"/>
  <c r="B169" i="11" s="1"/>
  <c r="E169" i="11" s="1"/>
  <c r="N36" i="11"/>
  <c r="C169" i="11" l="1"/>
  <c r="I169" i="11"/>
  <c r="G169" i="11"/>
  <c r="F169" i="11"/>
  <c r="D169" i="11"/>
  <c r="H169" i="11"/>
  <c r="J169" i="11" l="1"/>
  <c r="B170" i="11" s="1"/>
  <c r="C170" i="11" s="1"/>
  <c r="D170" i="11" l="1"/>
  <c r="I170" i="11" s="1"/>
  <c r="F170" i="11"/>
  <c r="E170" i="11"/>
  <c r="H170" i="11" s="1"/>
  <c r="J170" i="11" s="1"/>
  <c r="B171" i="11" s="1"/>
  <c r="E171" i="11" s="1"/>
  <c r="F171" i="11" l="1"/>
  <c r="C171" i="11"/>
  <c r="D171" i="11"/>
  <c r="I171" i="11" s="1"/>
  <c r="H171" i="11" s="1"/>
  <c r="G170" i="11"/>
  <c r="G171" i="11"/>
  <c r="J171" i="11" l="1"/>
  <c r="B172" i="11" s="1"/>
  <c r="C172" i="11" l="1"/>
  <c r="D172" i="11"/>
  <c r="I172" i="11" s="1"/>
  <c r="E172" i="11"/>
  <c r="G172" i="11" s="1"/>
  <c r="F172" i="11"/>
  <c r="H172" i="11" l="1"/>
  <c r="J172" i="11" s="1"/>
  <c r="B173" i="11" s="1"/>
  <c r="E173" i="11" l="1"/>
  <c r="F173" i="11"/>
  <c r="H173" i="11" s="1"/>
  <c r="J173" i="11" s="1"/>
  <c r="B174" i="11" s="1"/>
  <c r="C173" i="11"/>
  <c r="D173" i="11"/>
  <c r="I173" i="11"/>
  <c r="F174" i="11" l="1"/>
  <c r="E174" i="11"/>
  <c r="H174" i="11" s="1"/>
  <c r="J174" i="11" s="1"/>
  <c r="B175" i="11" s="1"/>
  <c r="D174" i="11"/>
  <c r="I174" i="11" s="1"/>
  <c r="C174" i="11"/>
  <c r="G174" i="11"/>
  <c r="G173" i="11"/>
  <c r="E175" i="11" l="1"/>
  <c r="D175" i="11"/>
  <c r="I175" i="11" s="1"/>
  <c r="H175" i="11" s="1"/>
  <c r="J175" i="11" s="1"/>
  <c r="B176" i="11" s="1"/>
  <c r="F175" i="11"/>
  <c r="C175" i="11"/>
  <c r="E176" i="11" l="1"/>
  <c r="C176" i="11"/>
  <c r="F176" i="11"/>
  <c r="G176" i="11" s="1"/>
  <c r="D176" i="11"/>
  <c r="I176" i="11" s="1"/>
  <c r="H176" i="11" s="1"/>
  <c r="J176" i="11" s="1"/>
  <c r="B177" i="11" s="1"/>
  <c r="G175" i="11"/>
  <c r="D177" i="11" l="1"/>
  <c r="I177" i="11" s="1"/>
  <c r="E177" i="11"/>
  <c r="G177" i="11" s="1"/>
  <c r="C177" i="11"/>
  <c r="F177" i="11"/>
  <c r="H177" i="11" l="1"/>
  <c r="J177" i="11" s="1"/>
  <c r="B178" i="11" s="1"/>
  <c r="D178" i="11" l="1"/>
  <c r="I178" i="11"/>
  <c r="E178" i="11"/>
  <c r="C178" i="11"/>
  <c r="F178" i="11"/>
  <c r="H178" i="11" s="1"/>
  <c r="J178" i="11" s="1"/>
  <c r="B179" i="11" s="1"/>
  <c r="E179" i="11" l="1"/>
  <c r="C179" i="11"/>
  <c r="D179" i="11"/>
  <c r="F179" i="11"/>
  <c r="G179" i="11" s="1"/>
  <c r="I179" i="11"/>
  <c r="H179" i="11" s="1"/>
  <c r="J179" i="11" s="1"/>
  <c r="B180" i="11" s="1"/>
  <c r="F180" i="11" s="1"/>
  <c r="G178" i="11"/>
  <c r="C180" i="11" l="1"/>
  <c r="E180" i="11"/>
  <c r="H180" i="11" s="1"/>
  <c r="D180" i="11"/>
  <c r="I180" i="11" s="1"/>
  <c r="O37" i="11" s="1"/>
  <c r="G180" i="11"/>
  <c r="M37" i="11" s="1"/>
  <c r="J180" i="11" l="1"/>
  <c r="B181" i="11" s="1"/>
  <c r="N37" i="11"/>
  <c r="F181" i="11" l="1"/>
  <c r="D181" i="11"/>
  <c r="I181" i="11" s="1"/>
  <c r="C181" i="11"/>
  <c r="E181" i="11"/>
  <c r="G181" i="11" l="1"/>
  <c r="H181" i="11"/>
  <c r="J181" i="11" s="1"/>
  <c r="B182" i="11" s="1"/>
  <c r="E182" i="11" l="1"/>
  <c r="F182" i="11"/>
  <c r="D182" i="11"/>
  <c r="I182" i="11" s="1"/>
  <c r="H182" i="11" s="1"/>
  <c r="C182" i="11"/>
  <c r="G182" i="11" l="1"/>
  <c r="J182" i="11"/>
  <c r="B183" i="11" s="1"/>
  <c r="E183" i="11" l="1"/>
  <c r="D183" i="11"/>
  <c r="I183" i="11" s="1"/>
  <c r="C183" i="11"/>
  <c r="F183" i="11"/>
  <c r="G183" i="11"/>
  <c r="H183" i="11" l="1"/>
  <c r="J183" i="11"/>
  <c r="B184" i="11" s="1"/>
  <c r="D184" i="11" l="1"/>
  <c r="F184" i="11"/>
  <c r="E184" i="11"/>
  <c r="I184" i="11"/>
  <c r="C184" i="11"/>
  <c r="H184" i="11"/>
  <c r="G184" i="11"/>
  <c r="J184" i="11" l="1"/>
  <c r="B185" i="11" s="1"/>
  <c r="E185" i="11" l="1"/>
  <c r="D185" i="11"/>
  <c r="I185" i="11" s="1"/>
  <c r="F185" i="11"/>
  <c r="C185" i="11"/>
  <c r="G185" i="11"/>
  <c r="H185" i="11"/>
  <c r="J185" i="11" l="1"/>
  <c r="B186" i="11" s="1"/>
  <c r="D186" i="11" l="1"/>
  <c r="I186" i="11" s="1"/>
  <c r="C186" i="11"/>
  <c r="E186" i="11"/>
  <c r="F186" i="11"/>
  <c r="H186" i="11" s="1"/>
  <c r="J186" i="11" s="1"/>
  <c r="B187" i="11" s="1"/>
  <c r="G186" i="11" l="1"/>
  <c r="E187" i="11"/>
  <c r="C187" i="11"/>
  <c r="F187" i="11"/>
  <c r="G187" i="11" s="1"/>
  <c r="D187" i="11"/>
  <c r="I187" i="11" s="1"/>
  <c r="H187" i="11" s="1"/>
  <c r="J187" i="11" s="1"/>
  <c r="B188" i="11" s="1"/>
  <c r="C188" i="11" l="1"/>
  <c r="E188" i="11"/>
  <c r="H188" i="11" s="1"/>
  <c r="J188" i="11" s="1"/>
  <c r="B189" i="11" s="1"/>
  <c r="D188" i="11"/>
  <c r="I188" i="11" s="1"/>
  <c r="F188" i="11"/>
  <c r="G188" i="11" s="1"/>
  <c r="D189" i="11" l="1"/>
  <c r="I189" i="11" s="1"/>
  <c r="F189" i="11"/>
  <c r="E189" i="11"/>
  <c r="C189" i="11"/>
  <c r="H189" i="11"/>
  <c r="J189" i="11" s="1"/>
  <c r="B190" i="11" s="1"/>
  <c r="F190" i="11" s="1"/>
  <c r="G189" i="11"/>
  <c r="D190" i="11" l="1"/>
  <c r="I190" i="11" s="1"/>
  <c r="E190" i="11"/>
  <c r="G190" i="11"/>
  <c r="C190" i="11"/>
  <c r="H190" i="11"/>
  <c r="J190" i="11" s="1"/>
  <c r="B191" i="11" s="1"/>
  <c r="E191" i="11" l="1"/>
  <c r="C191" i="11"/>
  <c r="D191" i="11"/>
  <c r="I191" i="11" s="1"/>
  <c r="F191" i="11"/>
  <c r="G191" i="11"/>
  <c r="H191" i="11" l="1"/>
  <c r="J191" i="11" s="1"/>
  <c r="B192" i="11" s="1"/>
  <c r="E192" i="11" s="1"/>
  <c r="C192" i="11" l="1"/>
  <c r="F192" i="11"/>
  <c r="D192" i="11"/>
  <c r="I192" i="11" s="1"/>
  <c r="G192" i="11"/>
  <c r="M38" i="11" s="1"/>
  <c r="H192" i="11" l="1"/>
  <c r="O38" i="11"/>
  <c r="J192" i="11" l="1"/>
  <c r="B193" i="11" s="1"/>
  <c r="N38" i="11"/>
  <c r="E193" i="11" l="1"/>
  <c r="G193" i="11" s="1"/>
  <c r="D193" i="11"/>
  <c r="I193" i="11" s="1"/>
  <c r="F193" i="11"/>
  <c r="C193" i="11"/>
  <c r="H193" i="11" l="1"/>
  <c r="J193" i="11" l="1"/>
  <c r="B194" i="11" s="1"/>
  <c r="E194" i="11" l="1"/>
  <c r="C194" i="11"/>
  <c r="D194" i="11"/>
  <c r="I194" i="11" s="1"/>
  <c r="F194" i="11"/>
  <c r="G194" i="11" s="1"/>
  <c r="H194" i="11" l="1"/>
  <c r="J194" i="11" l="1"/>
  <c r="B195" i="11" s="1"/>
  <c r="F195" i="11" l="1"/>
  <c r="D195" i="11"/>
  <c r="I195" i="11" s="1"/>
  <c r="C195" i="11"/>
  <c r="E195" i="11"/>
  <c r="G195" i="11"/>
  <c r="H195" i="11" l="1"/>
  <c r="J195" i="11" l="1"/>
  <c r="B196" i="11" s="1"/>
  <c r="F196" i="11" l="1"/>
  <c r="C196" i="11"/>
  <c r="E196" i="11"/>
  <c r="G196" i="11" s="1"/>
  <c r="D196" i="11"/>
  <c r="I196" i="11" s="1"/>
  <c r="H196" i="11" l="1"/>
  <c r="J196" i="11" l="1"/>
  <c r="B197" i="11" s="1"/>
  <c r="D197" i="11" l="1"/>
  <c r="I197" i="11" s="1"/>
  <c r="C197" i="11"/>
  <c r="E197" i="11"/>
  <c r="G197" i="11" s="1"/>
  <c r="F197" i="11"/>
  <c r="H197" i="11"/>
  <c r="J197" i="11" l="1"/>
  <c r="B198" i="11" s="1"/>
  <c r="E198" i="11" l="1"/>
  <c r="D198" i="11"/>
  <c r="C198" i="11"/>
  <c r="I198" i="11"/>
  <c r="F198" i="11"/>
  <c r="G198" i="11"/>
  <c r="H198" i="11"/>
  <c r="J198" i="11" s="1"/>
  <c r="B199" i="11" s="1"/>
  <c r="E199" i="11" l="1"/>
  <c r="F199" i="11"/>
  <c r="C199" i="11"/>
  <c r="D199" i="11"/>
  <c r="I199" i="11" s="1"/>
  <c r="H199" i="11"/>
  <c r="J199" i="11" s="1"/>
  <c r="B200" i="11" s="1"/>
  <c r="G199" i="11"/>
  <c r="C200" i="11" l="1"/>
  <c r="E200" i="11"/>
  <c r="D200" i="11"/>
  <c r="I200" i="11"/>
  <c r="F200" i="11"/>
  <c r="G200" i="11" s="1"/>
  <c r="H200" i="11" l="1"/>
  <c r="J200" i="11" s="1"/>
  <c r="B201" i="11" s="1"/>
  <c r="F201" i="11" s="1"/>
  <c r="C201" i="11" l="1"/>
  <c r="D201" i="11"/>
  <c r="I201" i="11" s="1"/>
  <c r="E201" i="11"/>
  <c r="H201" i="11"/>
  <c r="J201" i="11" s="1"/>
  <c r="B202" i="11" s="1"/>
  <c r="D202" i="11" s="1"/>
  <c r="I202" i="11" s="1"/>
  <c r="G201" i="11"/>
  <c r="C202" i="11" l="1"/>
  <c r="E202" i="11"/>
  <c r="F202" i="11"/>
  <c r="H202" i="11" s="1"/>
  <c r="J202" i="11" s="1"/>
  <c r="B203" i="11" s="1"/>
  <c r="D203" i="11" s="1"/>
  <c r="G202" i="11"/>
  <c r="G203" i="11" l="1"/>
  <c r="F203" i="11"/>
  <c r="I203" i="11"/>
  <c r="E203" i="11"/>
  <c r="H203" i="11"/>
  <c r="J203" i="11" s="1"/>
  <c r="B204" i="11" s="1"/>
  <c r="D204" i="11" s="1"/>
  <c r="C203" i="11"/>
  <c r="I204" i="11" l="1"/>
  <c r="O39" i="11" s="1"/>
  <c r="G37" i="2" s="1"/>
  <c r="E204" i="11"/>
  <c r="C204" i="11"/>
  <c r="G204" i="11"/>
  <c r="M39" i="11" s="1"/>
  <c r="F204" i="11"/>
  <c r="H204" i="11"/>
  <c r="J204" i="11" s="1"/>
  <c r="B205" i="11" s="1"/>
  <c r="N39" i="11" l="1"/>
  <c r="H37" i="2"/>
  <c r="F205" i="11"/>
  <c r="E205" i="11"/>
  <c r="G205" i="11" s="1"/>
  <c r="D205" i="11"/>
  <c r="I205" i="11" s="1"/>
  <c r="C205" i="11"/>
  <c r="H205" i="11"/>
  <c r="C87" i="1" l="1"/>
  <c r="E87" i="1" s="1"/>
  <c r="G38" i="2"/>
  <c r="J205" i="11"/>
  <c r="B206" i="11" s="1"/>
  <c r="C206" i="11" l="1"/>
  <c r="F206" i="11"/>
  <c r="D206" i="11"/>
  <c r="I206" i="11" s="1"/>
  <c r="E206" i="11"/>
  <c r="G206" i="11" s="1"/>
  <c r="H206" i="11" l="1"/>
  <c r="J206" i="11" l="1"/>
  <c r="B207" i="11" s="1"/>
  <c r="C207" i="11" l="1"/>
  <c r="F207" i="11"/>
  <c r="D207" i="11"/>
  <c r="I207" i="11" s="1"/>
  <c r="E207" i="11"/>
  <c r="G207" i="11"/>
  <c r="H207" i="11"/>
  <c r="J207" i="11" l="1"/>
  <c r="B208" i="11" s="1"/>
  <c r="F208" i="11" l="1"/>
  <c r="D208" i="11"/>
  <c r="E208" i="11"/>
  <c r="I208" i="11"/>
  <c r="H208" i="11" s="1"/>
  <c r="C208" i="11"/>
  <c r="G208" i="11"/>
  <c r="J208" i="11" l="1"/>
  <c r="B209" i="11" s="1"/>
  <c r="E209" i="11" l="1"/>
  <c r="F209" i="11"/>
  <c r="D209" i="11"/>
  <c r="I209" i="11" s="1"/>
  <c r="H209" i="11" s="1"/>
  <c r="G209" i="11"/>
  <c r="C209" i="11"/>
  <c r="J209" i="11" l="1"/>
  <c r="B210" i="11" s="1"/>
  <c r="E210" i="11" l="1"/>
  <c r="D210" i="11"/>
  <c r="I210" i="11" s="1"/>
  <c r="H210" i="11" s="1"/>
  <c r="J210" i="11" s="1"/>
  <c r="B211" i="11" s="1"/>
  <c r="F210" i="11"/>
  <c r="C210" i="11"/>
  <c r="G210" i="11" l="1"/>
  <c r="F211" i="11"/>
  <c r="D211" i="11"/>
  <c r="I211" i="11" s="1"/>
  <c r="H211" i="11" s="1"/>
  <c r="J211" i="11" s="1"/>
  <c r="B212" i="11" s="1"/>
  <c r="C211" i="11"/>
  <c r="E211" i="11"/>
  <c r="G211" i="11"/>
  <c r="C212" i="11" l="1"/>
  <c r="F212" i="11"/>
  <c r="E212" i="11"/>
  <c r="G212" i="11" s="1"/>
  <c r="D212" i="11"/>
  <c r="I212" i="11" s="1"/>
  <c r="H212" i="11" l="1"/>
  <c r="J212" i="11" s="1"/>
  <c r="B213" i="11" s="1"/>
  <c r="E213" i="11" s="1"/>
  <c r="D213" i="11" l="1"/>
  <c r="I213" i="11" s="1"/>
  <c r="C213" i="11"/>
  <c r="F213" i="11"/>
  <c r="G213" i="11" s="1"/>
  <c r="H213" i="11"/>
  <c r="J213" i="11" s="1"/>
  <c r="B214" i="11" s="1"/>
  <c r="C214" i="11" s="1"/>
  <c r="D214" i="11" l="1"/>
  <c r="I214" i="11" s="1"/>
  <c r="E214" i="11"/>
  <c r="F214" i="11"/>
  <c r="H214" i="11"/>
  <c r="J214" i="11" s="1"/>
  <c r="B215" i="11" s="1"/>
  <c r="C215" i="11" s="1"/>
  <c r="G214" i="11"/>
  <c r="D215" i="11" l="1"/>
  <c r="I215" i="11" s="1"/>
  <c r="H215" i="11" s="1"/>
  <c r="J215" i="11" s="1"/>
  <c r="B216" i="11" s="1"/>
  <c r="C216" i="11" s="1"/>
  <c r="F215" i="11"/>
  <c r="E215" i="11"/>
  <c r="G215" i="11" s="1"/>
  <c r="F216" i="11" l="1"/>
  <c r="G216" i="11" s="1"/>
  <c r="M40" i="11" s="1"/>
  <c r="H216" i="11"/>
  <c r="N40" i="11" s="1"/>
  <c r="D216" i="11"/>
  <c r="I216" i="11" s="1"/>
  <c r="O40" i="11" s="1"/>
  <c r="E216" i="11"/>
  <c r="J216" i="11"/>
  <c r="B217" i="11" s="1"/>
  <c r="F217" i="11" l="1"/>
  <c r="D217" i="11"/>
  <c r="C217" i="11"/>
  <c r="E217" i="11"/>
  <c r="I217" i="11"/>
  <c r="G217" i="11"/>
  <c r="H217" i="11"/>
  <c r="J217" i="11" l="1"/>
  <c r="B218" i="11" s="1"/>
  <c r="D218" i="11" l="1"/>
  <c r="E218" i="11"/>
  <c r="F218" i="11"/>
  <c r="I218" i="11"/>
  <c r="C218" i="11"/>
  <c r="H218" i="11"/>
  <c r="J218" i="11"/>
  <c r="B219" i="11" s="1"/>
  <c r="G218" i="11" l="1"/>
  <c r="F219" i="11"/>
  <c r="C219" i="11"/>
  <c r="D219" i="11"/>
  <c r="I219" i="11" s="1"/>
  <c r="E219" i="11"/>
  <c r="H219" i="11"/>
  <c r="J219" i="11" s="1"/>
  <c r="B220" i="11" s="1"/>
  <c r="G219" i="11"/>
  <c r="E220" i="11" l="1"/>
  <c r="C220" i="11"/>
  <c r="D220" i="11"/>
  <c r="I220" i="11" s="1"/>
  <c r="F220" i="11"/>
  <c r="G220" i="11" s="1"/>
  <c r="H220" i="11" l="1"/>
  <c r="J220" i="11" l="1"/>
  <c r="B221" i="11" s="1"/>
  <c r="E221" i="11" l="1"/>
  <c r="C221" i="11"/>
  <c r="D221" i="11"/>
  <c r="I221" i="11" s="1"/>
  <c r="F221" i="11"/>
  <c r="G221" i="11" s="1"/>
  <c r="H221" i="11" l="1"/>
  <c r="J221" i="11"/>
  <c r="B222" i="11" s="1"/>
  <c r="C222" i="11" l="1"/>
  <c r="F222" i="11"/>
  <c r="E222" i="11"/>
  <c r="D222" i="11"/>
  <c r="I222" i="11" s="1"/>
  <c r="G222" i="11"/>
  <c r="H222" i="11" l="1"/>
  <c r="J222" i="11" s="1"/>
  <c r="B223" i="11" s="1"/>
  <c r="H223" i="11" s="1"/>
  <c r="J223" i="11" s="1"/>
  <c r="B224" i="11" s="1"/>
  <c r="F223" i="11" l="1"/>
  <c r="E223" i="11"/>
  <c r="G223" i="11" s="1"/>
  <c r="D223" i="11"/>
  <c r="I223" i="11" s="1"/>
  <c r="C223" i="11"/>
  <c r="E224" i="11"/>
  <c r="C224" i="11"/>
  <c r="F224" i="11"/>
  <c r="D224" i="11"/>
  <c r="I224" i="11" s="1"/>
  <c r="H224" i="11" s="1"/>
  <c r="J224" i="11" s="1"/>
  <c r="B225" i="11" s="1"/>
  <c r="G224" i="11"/>
  <c r="E225" i="11" l="1"/>
  <c r="C225" i="11"/>
  <c r="F225" i="11"/>
  <c r="D225" i="11"/>
  <c r="I225" i="11" s="1"/>
  <c r="H225" i="11" s="1"/>
  <c r="J225" i="11" s="1"/>
  <c r="B226" i="11" s="1"/>
  <c r="G225" i="11"/>
  <c r="C226" i="11" l="1"/>
  <c r="E226" i="11"/>
  <c r="D226" i="11"/>
  <c r="I226" i="11" s="1"/>
  <c r="F226" i="11"/>
  <c r="G226" i="11" s="1"/>
  <c r="H226" i="11" l="1"/>
  <c r="J226" i="11" s="1"/>
  <c r="B227" i="11" s="1"/>
  <c r="F227" i="11" s="1"/>
  <c r="D227" i="11" l="1"/>
  <c r="I227" i="11"/>
  <c r="C227" i="11"/>
  <c r="E227" i="11"/>
  <c r="H227" i="11"/>
  <c r="J227" i="11" s="1"/>
  <c r="B228" i="11" s="1"/>
  <c r="F228" i="11" s="1"/>
  <c r="G227" i="11"/>
  <c r="H228" i="11" l="1"/>
  <c r="I228" i="11"/>
  <c r="O41" i="11" s="1"/>
  <c r="E228" i="11"/>
  <c r="G228" i="11" s="1"/>
  <c r="M41" i="11" s="1"/>
  <c r="D228" i="11"/>
  <c r="C228" i="11"/>
  <c r="J228" i="11"/>
  <c r="B229" i="11" s="1"/>
  <c r="N41" i="11"/>
  <c r="D229" i="11" l="1"/>
  <c r="I229" i="11" s="1"/>
  <c r="F229" i="11"/>
  <c r="E229" i="11"/>
  <c r="H229" i="11" s="1"/>
  <c r="C229" i="11"/>
  <c r="G229" i="11"/>
  <c r="J229" i="11" l="1"/>
  <c r="B230" i="11" s="1"/>
  <c r="F230" i="11" l="1"/>
  <c r="E230" i="11"/>
  <c r="G230" i="11" s="1"/>
  <c r="D230" i="11"/>
  <c r="I230" i="11" s="1"/>
  <c r="C230" i="11"/>
  <c r="H230" i="11" l="1"/>
  <c r="J230" i="11" s="1"/>
  <c r="B231" i="11" s="1"/>
  <c r="E231" i="11" s="1"/>
  <c r="C231" i="11" l="1"/>
  <c r="D231" i="11"/>
  <c r="I231" i="11" s="1"/>
  <c r="F231" i="11"/>
  <c r="G231" i="11" s="1"/>
  <c r="H231" i="11" l="1"/>
  <c r="J231" i="11" s="1"/>
  <c r="B232" i="11" s="1"/>
  <c r="E232" i="11" l="1"/>
  <c r="F232" i="11"/>
  <c r="H232" i="11" s="1"/>
  <c r="J232" i="11" s="1"/>
  <c r="B233" i="11" s="1"/>
  <c r="G232" i="11"/>
  <c r="D232" i="11"/>
  <c r="I232" i="11" s="1"/>
  <c r="C232" i="11"/>
  <c r="C233" i="11" l="1"/>
  <c r="F233" i="11"/>
  <c r="E233" i="11"/>
  <c r="D233" i="11"/>
  <c r="I233" i="11"/>
  <c r="H233" i="11" s="1"/>
  <c r="J233" i="11" s="1"/>
  <c r="B234" i="11" s="1"/>
  <c r="G233" i="11"/>
  <c r="E234" i="11" l="1"/>
  <c r="G234" i="11" s="1"/>
  <c r="D234" i="11"/>
  <c r="I234" i="11"/>
  <c r="F234" i="11"/>
  <c r="C234" i="11"/>
  <c r="H234" i="11"/>
  <c r="J234" i="11"/>
  <c r="B235" i="11" s="1"/>
  <c r="F235" i="11" l="1"/>
  <c r="D235" i="11"/>
  <c r="I235" i="11" s="1"/>
  <c r="E235" i="11"/>
  <c r="G235" i="11" s="1"/>
  <c r="C235" i="11"/>
  <c r="H235" i="11"/>
  <c r="J235" i="11" s="1"/>
  <c r="B236" i="11" s="1"/>
  <c r="F236" i="11" s="1"/>
  <c r="D236" i="11" l="1"/>
  <c r="I236" i="11" s="1"/>
  <c r="C236" i="11"/>
  <c r="E236" i="11"/>
  <c r="G236" i="11" s="1"/>
  <c r="H236" i="11" l="1"/>
  <c r="J236" i="11" s="1"/>
  <c r="B237" i="11" s="1"/>
  <c r="F237" i="11" l="1"/>
  <c r="E237" i="11"/>
  <c r="C237" i="11"/>
  <c r="D237" i="11"/>
  <c r="I237" i="11" s="1"/>
  <c r="H237" i="11" s="1"/>
  <c r="J237" i="11" s="1"/>
  <c r="B238" i="11" s="1"/>
  <c r="F238" i="11" l="1"/>
  <c r="D238" i="11"/>
  <c r="I238" i="11" s="1"/>
  <c r="H238" i="11" s="1"/>
  <c r="C238" i="11"/>
  <c r="E238" i="11"/>
  <c r="G238" i="11" s="1"/>
  <c r="G237" i="11"/>
  <c r="J238" i="11" l="1"/>
  <c r="B239" i="11" s="1"/>
  <c r="E239" i="11" l="1"/>
  <c r="C239" i="11"/>
  <c r="D239" i="11"/>
  <c r="I239" i="11" s="1"/>
  <c r="H239" i="11" s="1"/>
  <c r="F239" i="11"/>
  <c r="G239" i="11"/>
  <c r="J239" i="11" l="1"/>
  <c r="B240" i="11" s="1"/>
  <c r="F240" i="11" l="1"/>
  <c r="C240" i="11"/>
  <c r="D240" i="11"/>
  <c r="I240" i="11" s="1"/>
  <c r="O42" i="11" s="1"/>
  <c r="E240" i="11"/>
  <c r="H240" i="11" s="1"/>
  <c r="N42" i="11" s="1"/>
  <c r="G240" i="11" l="1"/>
  <c r="M42" i="11" s="1"/>
  <c r="J240" i="11"/>
  <c r="B241" i="11" s="1"/>
  <c r="D241" i="11" l="1"/>
  <c r="I241" i="11" s="1"/>
  <c r="C241" i="11"/>
  <c r="F241" i="11"/>
  <c r="E241" i="11"/>
  <c r="H241" i="11" s="1"/>
  <c r="J241" i="11" l="1"/>
  <c r="B242" i="11" s="1"/>
  <c r="G241" i="11"/>
  <c r="E242" i="11" l="1"/>
  <c r="F242" i="11"/>
  <c r="H242" i="11" s="1"/>
  <c r="J242" i="11" s="1"/>
  <c r="B243" i="11" s="1"/>
  <c r="C242" i="11"/>
  <c r="D242" i="11"/>
  <c r="I242" i="11" s="1"/>
  <c r="G242" i="11"/>
  <c r="F243" i="11" l="1"/>
  <c r="E243" i="11"/>
  <c r="G243" i="11" s="1"/>
  <c r="D243" i="11"/>
  <c r="I243" i="11" s="1"/>
  <c r="C243" i="11"/>
  <c r="H243" i="11"/>
  <c r="J243" i="11"/>
  <c r="B244" i="11" s="1"/>
  <c r="E244" i="11" l="1"/>
  <c r="F244" i="11"/>
  <c r="C244" i="11"/>
  <c r="D244" i="11"/>
  <c r="I244" i="11" s="1"/>
  <c r="H244" i="11" s="1"/>
  <c r="J244" i="11" s="1"/>
  <c r="B245" i="11" s="1"/>
  <c r="G244" i="11"/>
  <c r="D245" i="11" l="1"/>
  <c r="I245" i="11" s="1"/>
  <c r="F245" i="11"/>
  <c r="C245" i="11"/>
  <c r="E245" i="11"/>
  <c r="G245" i="11" s="1"/>
  <c r="H245" i="11" l="1"/>
  <c r="J245" i="11" s="1"/>
  <c r="B246" i="11" s="1"/>
  <c r="D246" i="11" l="1"/>
  <c r="I246" i="11" s="1"/>
  <c r="E246" i="11"/>
  <c r="F246" i="11"/>
  <c r="C246" i="11"/>
  <c r="H246" i="11"/>
  <c r="J246" i="11" s="1"/>
  <c r="B247" i="11" s="1"/>
  <c r="G246" i="11"/>
  <c r="E247" i="11" l="1"/>
  <c r="D247" i="11"/>
  <c r="F247" i="11"/>
  <c r="C247" i="11"/>
  <c r="G247" i="11"/>
  <c r="I247" i="11" l="1"/>
  <c r="H247" i="11" s="1"/>
  <c r="J247" i="11" s="1"/>
  <c r="B248" i="11" s="1"/>
  <c r="F248" i="11" l="1"/>
  <c r="D248" i="11"/>
  <c r="I248" i="11" s="1"/>
  <c r="H248" i="11" s="1"/>
  <c r="J248" i="11" s="1"/>
  <c r="B249" i="11" s="1"/>
  <c r="E248" i="11"/>
  <c r="G248" i="11" s="1"/>
  <c r="C248" i="11"/>
  <c r="E249" i="11" l="1"/>
  <c r="C249" i="11"/>
  <c r="D249" i="11"/>
  <c r="I249" i="11" s="1"/>
  <c r="F249" i="11"/>
  <c r="H249" i="11"/>
  <c r="J249" i="11" s="1"/>
  <c r="B250" i="11" s="1"/>
  <c r="G249" i="11"/>
  <c r="C250" i="11" l="1"/>
  <c r="E250" i="11"/>
  <c r="F250" i="11"/>
  <c r="G250" i="11" s="1"/>
  <c r="D250" i="11"/>
  <c r="I250" i="11" s="1"/>
  <c r="H250" i="11"/>
  <c r="J250" i="11" s="1"/>
  <c r="B251" i="11" s="1"/>
  <c r="F251" i="11" l="1"/>
  <c r="D251" i="11"/>
  <c r="I251" i="11" s="1"/>
  <c r="C251" i="11"/>
  <c r="E251" i="11"/>
  <c r="H251" i="11" s="1"/>
  <c r="J251" i="11" l="1"/>
  <c r="B252" i="11" s="1"/>
  <c r="G251" i="11"/>
  <c r="E252" i="11" l="1"/>
  <c r="C252" i="11"/>
  <c r="F252" i="11"/>
  <c r="D252" i="11"/>
  <c r="I252" i="11" s="1"/>
  <c r="G252" i="11"/>
  <c r="M43" i="11" s="1"/>
  <c r="O43" i="11" l="1"/>
  <c r="H252" i="11"/>
  <c r="N43" i="11" l="1"/>
  <c r="J252" i="11"/>
  <c r="B253" i="11" s="1"/>
  <c r="D253" i="11" l="1"/>
  <c r="I253" i="11" s="1"/>
  <c r="C253" i="11"/>
  <c r="E253" i="11"/>
  <c r="F253" i="11"/>
  <c r="H253" i="11" s="1"/>
  <c r="J253" i="11" s="1"/>
  <c r="B254" i="11" s="1"/>
  <c r="D254" i="11" l="1"/>
  <c r="I254" i="11" s="1"/>
  <c r="E254" i="11"/>
  <c r="F254" i="11"/>
  <c r="C254" i="11"/>
  <c r="H254" i="11"/>
  <c r="G254" i="11"/>
  <c r="J254" i="11"/>
  <c r="B255" i="11" s="1"/>
  <c r="G253" i="11"/>
  <c r="E255" i="11" l="1"/>
  <c r="F255" i="11"/>
  <c r="G255" i="11"/>
  <c r="D255" i="11"/>
  <c r="I255" i="11" s="1"/>
  <c r="C255" i="11"/>
  <c r="H255" i="11"/>
  <c r="J255" i="11" s="1"/>
  <c r="B256" i="11" s="1"/>
  <c r="F256" i="11" l="1"/>
  <c r="E256" i="11"/>
  <c r="G256" i="11" s="1"/>
  <c r="D256" i="11"/>
  <c r="I256" i="11" s="1"/>
  <c r="H256" i="11" s="1"/>
  <c r="J256" i="11" s="1"/>
  <c r="B257" i="11" s="1"/>
  <c r="C256" i="11"/>
  <c r="F257" i="11" l="1"/>
  <c r="C257" i="11"/>
  <c r="E257" i="11"/>
  <c r="G257" i="11" s="1"/>
  <c r="D257" i="11"/>
  <c r="I257" i="11" s="1"/>
  <c r="H257" i="11" s="1"/>
  <c r="J257" i="11"/>
  <c r="B258" i="11" s="1"/>
  <c r="F258" i="11" l="1"/>
  <c r="E258" i="11"/>
  <c r="G258" i="11" s="1"/>
  <c r="D258" i="11"/>
  <c r="I258" i="11" s="1"/>
  <c r="H258" i="11" s="1"/>
  <c r="J258" i="11" s="1"/>
  <c r="B259" i="11" s="1"/>
  <c r="C258" i="11"/>
  <c r="D259" i="11" l="1"/>
  <c r="I259" i="11" s="1"/>
  <c r="C259" i="11"/>
  <c r="E259" i="11"/>
  <c r="F259" i="11"/>
  <c r="H259" i="11"/>
  <c r="J259" i="11" s="1"/>
  <c r="B260" i="11" s="1"/>
  <c r="G259" i="11"/>
  <c r="D260" i="11" l="1"/>
  <c r="C260" i="11"/>
  <c r="I260" i="11"/>
  <c r="F260" i="11"/>
  <c r="E260" i="11"/>
  <c r="G260" i="11" s="1"/>
  <c r="H260" i="11" l="1"/>
  <c r="J260" i="11" s="1"/>
  <c r="B261" i="11" s="1"/>
  <c r="C261" i="11" s="1"/>
  <c r="I261" i="11" l="1"/>
  <c r="E261" i="11"/>
  <c r="F261" i="11"/>
  <c r="D261" i="11"/>
  <c r="G261" i="11"/>
  <c r="H261" i="11"/>
  <c r="J261" i="11" s="1"/>
  <c r="B262" i="11" s="1"/>
  <c r="E262" i="11" l="1"/>
  <c r="G262" i="11" s="1"/>
  <c r="D262" i="11"/>
  <c r="I262" i="11" s="1"/>
  <c r="C262" i="11"/>
  <c r="F262" i="11"/>
  <c r="H262" i="11" l="1"/>
  <c r="J262" i="11" s="1"/>
  <c r="B263" i="11" s="1"/>
  <c r="E263" i="11" l="1"/>
  <c r="D263" i="11"/>
  <c r="I263" i="11" s="1"/>
  <c r="H263" i="11" s="1"/>
  <c r="J263" i="11" s="1"/>
  <c r="B264" i="11" s="1"/>
  <c r="F263" i="11"/>
  <c r="G263" i="11" s="1"/>
  <c r="C263" i="11"/>
  <c r="E264" i="11" l="1"/>
  <c r="D264" i="11"/>
  <c r="I264" i="11"/>
  <c r="O44" i="11" s="1"/>
  <c r="C264" i="11"/>
  <c r="F264" i="11"/>
  <c r="G264" i="11" s="1"/>
  <c r="M44" i="11" s="1"/>
  <c r="H264" i="11"/>
  <c r="J264" i="11" l="1"/>
  <c r="B265" i="11" s="1"/>
  <c r="C265" i="11" s="1"/>
  <c r="N44" i="11"/>
  <c r="D265" i="11" l="1"/>
  <c r="I265" i="11" s="1"/>
  <c r="E265" i="11"/>
  <c r="F265" i="11"/>
  <c r="G265" i="11" l="1"/>
  <c r="H265" i="11"/>
  <c r="J265" i="11"/>
  <c r="B266" i="11" s="1"/>
  <c r="C266" i="11" l="1"/>
  <c r="D266" i="11"/>
  <c r="I266" i="11" s="1"/>
  <c r="E266" i="11"/>
  <c r="F266" i="11"/>
  <c r="H266" i="11" l="1"/>
  <c r="G266" i="11"/>
  <c r="J266" i="11"/>
  <c r="B267" i="11" s="1"/>
  <c r="F267" i="11" l="1"/>
  <c r="E267" i="11"/>
  <c r="G267" i="11" s="1"/>
  <c r="C267" i="11"/>
  <c r="D267" i="11"/>
  <c r="I267" i="11" s="1"/>
  <c r="H267" i="11" l="1"/>
  <c r="J267" i="11" l="1"/>
  <c r="B268" i="11" s="1"/>
  <c r="C268" i="11" l="1"/>
  <c r="F268" i="11"/>
  <c r="E268" i="11"/>
  <c r="D268" i="11"/>
  <c r="G268" i="11"/>
  <c r="I268" i="11"/>
  <c r="H268" i="11" l="1"/>
  <c r="J268" i="11" l="1"/>
  <c r="B269" i="11" s="1"/>
  <c r="E269" i="11" l="1"/>
  <c r="C269" i="11"/>
  <c r="F269" i="11"/>
  <c r="D269" i="11"/>
  <c r="I269" i="11" s="1"/>
  <c r="H269" i="11" s="1"/>
  <c r="G269" i="11"/>
  <c r="J269" i="11" l="1"/>
  <c r="B270" i="11" s="1"/>
  <c r="F270" i="11" l="1"/>
  <c r="E270" i="11"/>
  <c r="G270" i="11" s="1"/>
  <c r="C270" i="11"/>
  <c r="D270" i="11"/>
  <c r="I270" i="11" s="1"/>
  <c r="H270" i="11" s="1"/>
  <c r="J270" i="11" s="1"/>
  <c r="B271" i="11" s="1"/>
  <c r="E271" i="11" l="1"/>
  <c r="D271" i="11"/>
  <c r="C271" i="11"/>
  <c r="F271" i="11"/>
  <c r="I271" i="11"/>
  <c r="H271" i="11" s="1"/>
  <c r="J271" i="11" s="1"/>
  <c r="B272" i="11" s="1"/>
  <c r="G271" i="11"/>
  <c r="D272" i="11" l="1"/>
  <c r="E272" i="11"/>
  <c r="G272" i="11" s="1"/>
  <c r="C272" i="11"/>
  <c r="F272" i="11"/>
  <c r="I272" i="11"/>
  <c r="H272" i="11"/>
  <c r="J272" i="11" s="1"/>
  <c r="B273" i="11" s="1"/>
  <c r="F273" i="11" l="1"/>
  <c r="E273" i="11"/>
  <c r="G273" i="11"/>
  <c r="C273" i="11"/>
  <c r="D273" i="11"/>
  <c r="I273" i="11" s="1"/>
  <c r="H273" i="11" s="1"/>
  <c r="J273" i="11" s="1"/>
  <c r="B274" i="11" s="1"/>
  <c r="D274" i="11" l="1"/>
  <c r="F274" i="11"/>
  <c r="C274" i="11"/>
  <c r="E274" i="11"/>
  <c r="I274" i="11"/>
  <c r="H274" i="11" s="1"/>
  <c r="J274" i="11" s="1"/>
  <c r="B275" i="11" s="1"/>
  <c r="G274" i="11"/>
  <c r="F275" i="11" l="1"/>
  <c r="C275" i="11"/>
  <c r="E275" i="11"/>
  <c r="G275" i="11" s="1"/>
  <c r="D275" i="11"/>
  <c r="I275" i="11" s="1"/>
  <c r="H275" i="11"/>
  <c r="J275" i="11" s="1"/>
  <c r="B276" i="11" s="1"/>
  <c r="D276" i="11" l="1"/>
  <c r="F276" i="11"/>
  <c r="C276" i="11"/>
  <c r="E276" i="11"/>
  <c r="G276" i="11"/>
  <c r="M45" i="11" s="1"/>
  <c r="I276" i="11"/>
  <c r="H276" i="11" l="1"/>
  <c r="O45" i="11"/>
  <c r="J276" i="11" l="1"/>
  <c r="B277" i="11" s="1"/>
  <c r="N45" i="11"/>
  <c r="F277" i="11" l="1"/>
  <c r="D277" i="11"/>
  <c r="C277" i="11"/>
  <c r="E277" i="11"/>
  <c r="G277" i="11" s="1"/>
  <c r="I277" i="11"/>
  <c r="H277" i="11" l="1"/>
  <c r="J277" i="11" l="1"/>
  <c r="B278" i="11" s="1"/>
  <c r="F278" i="11" l="1"/>
  <c r="C278" i="11"/>
  <c r="D278" i="11"/>
  <c r="I278" i="11" s="1"/>
  <c r="E278" i="11"/>
  <c r="G278" i="11" s="1"/>
  <c r="H278" i="11" l="1"/>
  <c r="J278" i="11"/>
  <c r="B279" i="11" s="1"/>
  <c r="F279" i="11" l="1"/>
  <c r="C279" i="11"/>
  <c r="E279" i="11"/>
  <c r="D279" i="11"/>
  <c r="I279" i="11" s="1"/>
  <c r="H279" i="11" s="1"/>
  <c r="G279" i="11"/>
  <c r="J279" i="11" l="1"/>
  <c r="B280" i="11" s="1"/>
  <c r="D280" i="11" l="1"/>
  <c r="I280" i="11"/>
  <c r="F280" i="11"/>
  <c r="E280" i="11"/>
  <c r="H280" i="11" s="1"/>
  <c r="C280" i="11"/>
  <c r="G280" i="11"/>
  <c r="J280" i="11"/>
  <c r="B281" i="11" s="1"/>
  <c r="E281" i="11" l="1"/>
  <c r="F281" i="11"/>
  <c r="C281" i="11"/>
  <c r="D281" i="11"/>
  <c r="I281" i="11" s="1"/>
  <c r="G281" i="11"/>
  <c r="H281" i="11"/>
  <c r="J281" i="11" s="1"/>
  <c r="B282" i="11" s="1"/>
  <c r="D282" i="11" l="1"/>
  <c r="I282" i="11" s="1"/>
  <c r="C282" i="11"/>
  <c r="E282" i="11"/>
  <c r="F282" i="11"/>
  <c r="H282" i="11"/>
  <c r="J282" i="11"/>
  <c r="B283" i="11" s="1"/>
  <c r="G282" i="11"/>
  <c r="C283" i="11" l="1"/>
  <c r="F283" i="11"/>
  <c r="D283" i="11"/>
  <c r="I283" i="11" s="1"/>
  <c r="E283" i="11"/>
  <c r="G283" i="11" s="1"/>
  <c r="H283" i="11" l="1"/>
  <c r="J283" i="11"/>
  <c r="B284" i="11" s="1"/>
  <c r="D284" i="11" l="1"/>
  <c r="E284" i="11"/>
  <c r="F284" i="11"/>
  <c r="C284" i="11"/>
  <c r="I284" i="11"/>
  <c r="G284" i="11" l="1"/>
  <c r="H284" i="11"/>
  <c r="J284" i="11" s="1"/>
  <c r="B285" i="11" s="1"/>
  <c r="C285" i="11" l="1"/>
  <c r="D285" i="11"/>
  <c r="I285" i="11" s="1"/>
  <c r="E285" i="11"/>
  <c r="G285" i="11" s="1"/>
  <c r="F285" i="11"/>
  <c r="H285" i="11" l="1"/>
  <c r="J285" i="11" s="1"/>
  <c r="B286" i="11" s="1"/>
  <c r="E286" i="11" l="1"/>
  <c r="D286" i="11"/>
  <c r="I286" i="11" s="1"/>
  <c r="H286" i="11" s="1"/>
  <c r="J286" i="11" s="1"/>
  <c r="B287" i="11" s="1"/>
  <c r="F286" i="11"/>
  <c r="G286" i="11" s="1"/>
  <c r="C286" i="11"/>
  <c r="C287" i="11" l="1"/>
  <c r="F287" i="11"/>
  <c r="E287" i="11"/>
  <c r="G287" i="11" s="1"/>
  <c r="D287" i="11"/>
  <c r="I287" i="11" s="1"/>
  <c r="H287" i="11" s="1"/>
  <c r="J287" i="11" s="1"/>
  <c r="B288" i="11" s="1"/>
  <c r="C288" i="11" l="1"/>
  <c r="F288" i="11"/>
  <c r="E288" i="11"/>
  <c r="D288" i="11"/>
  <c r="I288" i="11"/>
  <c r="O46" i="11" s="1"/>
  <c r="H288" i="11"/>
  <c r="G288" i="11"/>
  <c r="M46" i="11" s="1"/>
  <c r="J288" i="11" l="1"/>
  <c r="B289" i="11" s="1"/>
  <c r="N46" i="11"/>
  <c r="E289" i="11" l="1"/>
  <c r="G289" i="11" s="1"/>
  <c r="F289" i="11"/>
  <c r="D289" i="11"/>
  <c r="C289" i="11"/>
  <c r="I289" i="11" l="1"/>
  <c r="H289" i="11"/>
  <c r="J289" i="11" s="1"/>
  <c r="B290" i="11" s="1"/>
  <c r="D290" i="11" l="1"/>
  <c r="I290" i="11" s="1"/>
  <c r="H290" i="11" s="1"/>
  <c r="J290" i="11" s="1"/>
  <c r="B291" i="11" s="1"/>
  <c r="F290" i="11"/>
  <c r="E290" i="11"/>
  <c r="C290" i="11"/>
  <c r="G290" i="11"/>
  <c r="C291" i="11" l="1"/>
  <c r="E291" i="11"/>
  <c r="D291" i="11"/>
  <c r="I291" i="11" s="1"/>
  <c r="F291" i="11"/>
  <c r="G291" i="11" s="1"/>
  <c r="H291" i="11"/>
  <c r="J291" i="11" l="1"/>
  <c r="B292" i="11" s="1"/>
  <c r="D292" i="11" l="1"/>
  <c r="I292" i="11" s="1"/>
  <c r="F292" i="11"/>
  <c r="E292" i="11"/>
  <c r="G292" i="11" s="1"/>
  <c r="C292" i="11"/>
  <c r="H292" i="11" l="1"/>
  <c r="J292" i="11"/>
  <c r="B293" i="11" s="1"/>
  <c r="E293" i="11" l="1"/>
  <c r="C293" i="11"/>
  <c r="D293" i="11"/>
  <c r="I293" i="11" s="1"/>
  <c r="F293" i="11"/>
  <c r="G293" i="11" s="1"/>
  <c r="H293" i="11" l="1"/>
  <c r="J293" i="11"/>
  <c r="B294" i="11" s="1"/>
  <c r="E294" i="11" l="1"/>
  <c r="G294" i="11" s="1"/>
  <c r="D294" i="11"/>
  <c r="F294" i="11"/>
  <c r="C294" i="11"/>
  <c r="I294" i="11"/>
  <c r="H294" i="11" l="1"/>
  <c r="J294" i="11" s="1"/>
  <c r="B295" i="11" s="1"/>
  <c r="D295" i="11" l="1"/>
  <c r="I295" i="11"/>
  <c r="E295" i="11"/>
  <c r="F295" i="11"/>
  <c r="C295" i="11"/>
  <c r="G295" i="11"/>
  <c r="H295" i="11" l="1"/>
  <c r="J295" i="11" s="1"/>
  <c r="B296" i="11" s="1"/>
  <c r="C296" i="11" l="1"/>
  <c r="D296" i="11"/>
  <c r="I296" i="11"/>
  <c r="F296" i="11"/>
  <c r="E296" i="11"/>
  <c r="H296" i="11" l="1"/>
  <c r="J296" i="11" s="1"/>
  <c r="B297" i="11" s="1"/>
  <c r="G296" i="11"/>
  <c r="F297" i="11" l="1"/>
  <c r="E297" i="11"/>
  <c r="D297" i="11"/>
  <c r="C297" i="11"/>
  <c r="I297" i="11"/>
  <c r="H297" i="11" s="1"/>
  <c r="J297" i="11" s="1"/>
  <c r="B298" i="11" s="1"/>
  <c r="C298" i="11" l="1"/>
  <c r="E298" i="11"/>
  <c r="G298" i="11" s="1"/>
  <c r="D298" i="11"/>
  <c r="I298" i="11" s="1"/>
  <c r="F298" i="11"/>
  <c r="G297" i="11"/>
  <c r="H298" i="11" l="1"/>
  <c r="J298" i="11" s="1"/>
  <c r="B299" i="11" s="1"/>
  <c r="F299" i="11" l="1"/>
  <c r="C299" i="11"/>
  <c r="E299" i="11"/>
  <c r="G299" i="11"/>
  <c r="D299" i="11"/>
  <c r="I299" i="11" s="1"/>
  <c r="H299" i="11" s="1"/>
  <c r="J299" i="11" s="1"/>
  <c r="B300" i="11" s="1"/>
  <c r="D300" i="11" l="1"/>
  <c r="C300" i="11"/>
  <c r="E300" i="11"/>
  <c r="F300" i="11"/>
  <c r="I300" i="11"/>
  <c r="G300" i="11" l="1"/>
  <c r="M47" i="11" s="1"/>
  <c r="H300" i="11"/>
  <c r="O47" i="11"/>
  <c r="J300" i="11" l="1"/>
  <c r="B301" i="11" s="1"/>
  <c r="N47" i="11"/>
  <c r="D301" i="11" l="1"/>
  <c r="I301" i="11"/>
  <c r="C301" i="11"/>
  <c r="E301" i="11"/>
  <c r="H301" i="11" s="1"/>
  <c r="F301" i="11"/>
  <c r="G301" i="11" s="1"/>
  <c r="J301" i="11" l="1"/>
  <c r="B302" i="11" s="1"/>
  <c r="C302" i="11" l="1"/>
  <c r="F302" i="11"/>
  <c r="E302" i="11"/>
  <c r="D302" i="11"/>
  <c r="I302" i="11" s="1"/>
  <c r="H302" i="11" l="1"/>
  <c r="J302" i="11" s="1"/>
  <c r="B303" i="11" s="1"/>
  <c r="F303" i="11" s="1"/>
  <c r="G302" i="11"/>
  <c r="C303" i="11" l="1"/>
  <c r="E303" i="11"/>
  <c r="D303" i="11"/>
  <c r="I303" i="11" l="1"/>
  <c r="G303" i="11"/>
  <c r="H303" i="11"/>
  <c r="J303" i="11" s="1"/>
  <c r="B304" i="11" s="1"/>
  <c r="C304" i="11" l="1"/>
  <c r="D304" i="11"/>
  <c r="F304" i="11"/>
  <c r="E304" i="11"/>
  <c r="G304" i="11"/>
  <c r="I304" i="11"/>
  <c r="H304" i="11"/>
  <c r="J304" i="11" s="1"/>
  <c r="B305" i="11" s="1"/>
  <c r="E305" i="11" s="1"/>
  <c r="C305" i="11" l="1"/>
  <c r="F305" i="11"/>
  <c r="D305" i="11"/>
  <c r="G305" i="11"/>
  <c r="I305" i="11"/>
  <c r="H305" i="11" s="1"/>
  <c r="J305" i="11" s="1"/>
  <c r="B306" i="11" s="1"/>
  <c r="E306" i="11" l="1"/>
  <c r="F306" i="11"/>
  <c r="D306" i="11"/>
  <c r="I306" i="11" s="1"/>
  <c r="G306" i="11"/>
  <c r="C306" i="11"/>
  <c r="H306" i="11" l="1"/>
  <c r="J306" i="11" s="1"/>
  <c r="B307" i="11" s="1"/>
  <c r="E307" i="11" l="1"/>
  <c r="D307" i="11"/>
  <c r="I307" i="11" s="1"/>
  <c r="C307" i="11"/>
  <c r="F307" i="11"/>
  <c r="G307" i="11"/>
  <c r="H307" i="11" l="1"/>
  <c r="J307" i="11" s="1"/>
  <c r="B308" i="11" s="1"/>
  <c r="C308" i="11" s="1"/>
  <c r="E308" i="11" l="1"/>
  <c r="F308" i="11"/>
  <c r="G308" i="11" s="1"/>
  <c r="D308" i="11"/>
  <c r="I308" i="11" s="1"/>
  <c r="H308" i="11" s="1"/>
  <c r="J308" i="11" s="1"/>
  <c r="B309" i="11" s="1"/>
  <c r="C309" i="11" l="1"/>
  <c r="F309" i="11"/>
  <c r="E309" i="11"/>
  <c r="D309" i="11"/>
  <c r="I309" i="11" s="1"/>
  <c r="G309" i="11" l="1"/>
  <c r="H309" i="11"/>
  <c r="J309" i="11" s="1"/>
  <c r="B310" i="11" s="1"/>
  <c r="C310" i="11" l="1"/>
  <c r="F310" i="11"/>
  <c r="D310" i="11"/>
  <c r="E310" i="11"/>
  <c r="G310" i="11" l="1"/>
  <c r="I310" i="11"/>
  <c r="H310" i="11" s="1"/>
  <c r="J310" i="11" s="1"/>
  <c r="B311" i="11" s="1"/>
  <c r="E311" i="11" l="1"/>
  <c r="C311" i="11"/>
  <c r="F311" i="11"/>
  <c r="D311" i="11"/>
  <c r="I311" i="11" s="1"/>
  <c r="H311" i="11" s="1"/>
  <c r="G311" i="11" l="1"/>
  <c r="J311" i="11"/>
  <c r="B312" i="11" s="1"/>
  <c r="E312" i="11" l="1"/>
  <c r="C312" i="11"/>
  <c r="F312" i="11"/>
  <c r="G312" i="11"/>
  <c r="M48" i="11" s="1"/>
  <c r="D312" i="11"/>
  <c r="I312" i="11" s="1"/>
  <c r="H312" i="11" l="1"/>
  <c r="O48" i="11"/>
  <c r="J312" i="11" l="1"/>
  <c r="B313" i="11" s="1"/>
  <c r="N48" i="11"/>
  <c r="F313" i="11" l="1"/>
  <c r="C313" i="11"/>
  <c r="D313" i="11"/>
  <c r="E313" i="11"/>
  <c r="G313" i="11" l="1"/>
  <c r="I313" i="11"/>
  <c r="H313" i="11" s="1"/>
  <c r="J313" i="11" s="1"/>
  <c r="B314" i="11" s="1"/>
  <c r="E314" i="11" l="1"/>
  <c r="C314" i="11"/>
  <c r="F314" i="11"/>
  <c r="D314" i="11"/>
  <c r="I314" i="11" s="1"/>
  <c r="G314" i="11"/>
  <c r="H314" i="11"/>
  <c r="J314" i="11"/>
  <c r="B315" i="11" s="1"/>
  <c r="E315" i="11" s="1"/>
  <c r="F315" i="11" l="1"/>
  <c r="G315" i="11" s="1"/>
  <c r="D315" i="11"/>
  <c r="I315" i="11" s="1"/>
  <c r="C315" i="11"/>
  <c r="H315" i="11"/>
  <c r="J315" i="11"/>
  <c r="B316" i="11" s="1"/>
  <c r="C316" i="11" l="1"/>
  <c r="E316" i="11"/>
  <c r="F316" i="11"/>
  <c r="D316" i="11"/>
  <c r="I316" i="11" s="1"/>
  <c r="H316" i="11" l="1"/>
  <c r="J316" i="11"/>
  <c r="B317" i="11" s="1"/>
  <c r="G316" i="11"/>
  <c r="D317" i="11" l="1"/>
  <c r="E317" i="11"/>
  <c r="I317" i="11"/>
  <c r="C317" i="11"/>
  <c r="F317" i="11"/>
  <c r="G317" i="11" s="1"/>
  <c r="H317" i="11" l="1"/>
  <c r="J317" i="11" s="1"/>
  <c r="B318" i="11" s="1"/>
  <c r="D318" i="11" s="1"/>
  <c r="I318" i="11" s="1"/>
  <c r="E318" i="11" l="1"/>
  <c r="C318" i="11"/>
  <c r="F318" i="11"/>
  <c r="H318" i="11" s="1"/>
  <c r="J318" i="11" s="1"/>
  <c r="B319" i="11" s="1"/>
  <c r="F319" i="11" s="1"/>
  <c r="E319" i="11" l="1"/>
  <c r="C319" i="11"/>
  <c r="D319" i="11"/>
  <c r="I319" i="11" s="1"/>
  <c r="H319" i="11" s="1"/>
  <c r="J319" i="11" s="1"/>
  <c r="B320" i="11" s="1"/>
  <c r="G318" i="11"/>
  <c r="G319" i="11"/>
  <c r="C320" i="11" l="1"/>
  <c r="F320" i="11"/>
  <c r="D320" i="11"/>
  <c r="I320" i="11" s="1"/>
  <c r="E320" i="11"/>
  <c r="G320" i="11" s="1"/>
  <c r="H320" i="11" l="1"/>
  <c r="J320" i="11" s="1"/>
  <c r="B321" i="11" s="1"/>
  <c r="E321" i="11" l="1"/>
  <c r="C321" i="11"/>
  <c r="D321" i="11"/>
  <c r="F321" i="11"/>
  <c r="G321" i="11" s="1"/>
  <c r="I321" i="11" l="1"/>
  <c r="H321" i="11"/>
  <c r="J321" i="11" s="1"/>
  <c r="B322" i="11" s="1"/>
  <c r="E322" i="11" l="1"/>
  <c r="C322" i="11"/>
  <c r="F322" i="11"/>
  <c r="G322" i="11"/>
  <c r="D322" i="11"/>
  <c r="I322" i="11" s="1"/>
  <c r="H322" i="11" s="1"/>
  <c r="J322" i="11" l="1"/>
  <c r="B323" i="11" s="1"/>
  <c r="D323" i="11" l="1"/>
  <c r="I323" i="11"/>
  <c r="C323" i="11"/>
  <c r="E323" i="11"/>
  <c r="F323" i="11"/>
  <c r="H323" i="11" s="1"/>
  <c r="J323" i="11" s="1"/>
  <c r="B324" i="11" s="1"/>
  <c r="G323" i="11" l="1"/>
  <c r="D324" i="11"/>
  <c r="C324" i="11"/>
  <c r="E324" i="11"/>
  <c r="I324" i="11"/>
  <c r="O49" i="11" s="1"/>
  <c r="F324" i="11"/>
  <c r="G324" i="11" l="1"/>
  <c r="M49" i="11" s="1"/>
  <c r="H324" i="11"/>
  <c r="J324" i="11" l="1"/>
  <c r="B325" i="11" s="1"/>
  <c r="F325" i="11" s="1"/>
  <c r="N49" i="11"/>
  <c r="E325" i="11" l="1"/>
  <c r="G325" i="11" s="1"/>
  <c r="D325" i="11"/>
  <c r="C325" i="11"/>
  <c r="I325" i="11"/>
  <c r="H325" i="11" l="1"/>
  <c r="J325" i="11" l="1"/>
  <c r="B326" i="11" s="1"/>
  <c r="F326" i="11" l="1"/>
  <c r="D326" i="11"/>
  <c r="I326" i="11" s="1"/>
  <c r="C326" i="11"/>
  <c r="E326" i="11"/>
  <c r="G326" i="11" s="1"/>
  <c r="H326" i="11" l="1"/>
  <c r="J326" i="11"/>
  <c r="B327" i="11" s="1"/>
  <c r="D327" i="11" l="1"/>
  <c r="I327" i="11" s="1"/>
  <c r="F327" i="11"/>
  <c r="E327" i="11"/>
  <c r="C327" i="11"/>
  <c r="G327" i="11" l="1"/>
  <c r="H327" i="11"/>
  <c r="J327" i="11" s="1"/>
  <c r="B328" i="11" s="1"/>
  <c r="F328" i="11" s="1"/>
  <c r="D328" i="11" l="1"/>
  <c r="I328" i="11" s="1"/>
  <c r="C328" i="11"/>
  <c r="E328" i="11"/>
  <c r="H328" i="11"/>
  <c r="J328" i="11"/>
  <c r="B329" i="11" s="1"/>
  <c r="G328" i="11"/>
  <c r="D329" i="11" l="1"/>
  <c r="I329" i="11" s="1"/>
  <c r="E329" i="11"/>
  <c r="F329" i="11"/>
  <c r="C329" i="11"/>
  <c r="H329" i="11"/>
  <c r="J329" i="11" s="1"/>
  <c r="B330" i="11" s="1"/>
  <c r="G329" i="11"/>
  <c r="C330" i="11" l="1"/>
  <c r="F330" i="11"/>
  <c r="E330" i="11"/>
  <c r="D330" i="11"/>
  <c r="I330" i="11" s="1"/>
  <c r="H330" i="11" s="1"/>
  <c r="J330" i="11" s="1"/>
  <c r="B331" i="11" s="1"/>
  <c r="F331" i="11" l="1"/>
  <c r="E331" i="11"/>
  <c r="D331" i="11"/>
  <c r="I331" i="11" s="1"/>
  <c r="H331" i="11" s="1"/>
  <c r="C331" i="11"/>
  <c r="G330" i="11"/>
  <c r="G331" i="11" l="1"/>
  <c r="J331" i="11"/>
  <c r="B332" i="11" s="1"/>
  <c r="F332" i="11" l="1"/>
  <c r="D332" i="11"/>
  <c r="C332" i="11"/>
  <c r="E332" i="11"/>
  <c r="I332" i="11"/>
  <c r="G332" i="11"/>
  <c r="H332" i="11"/>
  <c r="J332" i="11" s="1"/>
  <c r="B333" i="11" s="1"/>
  <c r="C333" i="11" s="1"/>
  <c r="D333" i="11" l="1"/>
  <c r="I333" i="11" s="1"/>
  <c r="E333" i="11"/>
  <c r="F333" i="11"/>
  <c r="G333" i="11" s="1"/>
  <c r="H333" i="11" l="1"/>
  <c r="J333" i="11" s="1"/>
  <c r="B334" i="11" s="1"/>
  <c r="D334" i="11" l="1"/>
  <c r="E334" i="11"/>
  <c r="G334" i="11" s="1"/>
  <c r="F334" i="11"/>
  <c r="C334" i="11"/>
  <c r="I334" i="11" l="1"/>
  <c r="H334" i="11" s="1"/>
  <c r="J334" i="11" s="1"/>
  <c r="B335" i="11" s="1"/>
  <c r="E335" i="11" l="1"/>
  <c r="F335" i="11"/>
  <c r="G335" i="11" s="1"/>
  <c r="C335" i="11"/>
  <c r="D335" i="11"/>
  <c r="I335" i="11" s="1"/>
  <c r="H335" i="11"/>
  <c r="J335" i="11" s="1"/>
  <c r="B336" i="11" s="1"/>
  <c r="D336" i="11" s="1"/>
  <c r="I336" i="11" s="1"/>
  <c r="O50" i="11" s="1"/>
  <c r="E336" i="11" l="1"/>
  <c r="C336" i="11"/>
  <c r="F336" i="11"/>
  <c r="H336" i="11"/>
  <c r="N50" i="11" s="1"/>
  <c r="J336" i="11"/>
  <c r="B337" i="11" s="1"/>
  <c r="E337" i="11" s="1"/>
  <c r="G336" i="11"/>
  <c r="M50" i="11" s="1"/>
  <c r="F337" i="11" l="1"/>
  <c r="C337" i="11"/>
  <c r="I337" i="11"/>
  <c r="D337" i="11"/>
  <c r="H337" i="11"/>
  <c r="G337" i="11"/>
  <c r="J337" i="11" l="1"/>
  <c r="B338" i="11" s="1"/>
  <c r="D338" i="11" l="1"/>
  <c r="F338" i="11"/>
  <c r="C338" i="11"/>
  <c r="I338" i="11"/>
  <c r="E338" i="11"/>
  <c r="G338" i="11" s="1"/>
  <c r="H338" i="11" l="1"/>
  <c r="J338" i="11" s="1"/>
  <c r="B339" i="11" s="1"/>
  <c r="C339" i="11" l="1"/>
  <c r="E339" i="11"/>
  <c r="D339" i="11"/>
  <c r="I339" i="11" s="1"/>
  <c r="F339" i="11"/>
  <c r="H339" i="11" s="1"/>
  <c r="J339" i="11" s="1"/>
  <c r="B340" i="11" s="1"/>
  <c r="E340" i="11" l="1"/>
  <c r="C340" i="11"/>
  <c r="D340" i="11"/>
  <c r="I340" i="11" s="1"/>
  <c r="H340" i="11" s="1"/>
  <c r="F340" i="11"/>
  <c r="G339" i="11"/>
  <c r="G340" i="11"/>
  <c r="J340" i="11" l="1"/>
  <c r="B341" i="11" s="1"/>
  <c r="E341" i="11" s="1"/>
  <c r="D341" i="11" l="1"/>
  <c r="C341" i="11"/>
  <c r="F341" i="11"/>
  <c r="G341" i="11" s="1"/>
  <c r="I341" i="11"/>
  <c r="H341" i="11" s="1"/>
  <c r="J341" i="11" s="1"/>
  <c r="B342" i="11" s="1"/>
  <c r="C342" i="11" l="1"/>
  <c r="D342" i="11"/>
  <c r="F342" i="11"/>
  <c r="I342" i="11"/>
  <c r="E342" i="11"/>
  <c r="H342" i="11" s="1"/>
  <c r="J342" i="11" s="1"/>
  <c r="B343" i="11" s="1"/>
  <c r="E343" i="11" l="1"/>
  <c r="D343" i="11"/>
  <c r="C343" i="11"/>
  <c r="F343" i="11"/>
  <c r="G342" i="11"/>
  <c r="I343" i="11"/>
  <c r="H343" i="11" s="1"/>
  <c r="J343" i="11" s="1"/>
  <c r="B344" i="11" s="1"/>
  <c r="C344" i="11" s="1"/>
  <c r="D344" i="11" l="1"/>
  <c r="I344" i="11" s="1"/>
  <c r="E344" i="11"/>
  <c r="F344" i="11"/>
  <c r="G343" i="11"/>
  <c r="G344" i="11" l="1"/>
  <c r="H344" i="11"/>
  <c r="J344" i="11" s="1"/>
  <c r="B345" i="11" s="1"/>
  <c r="C345" i="11" s="1"/>
  <c r="D345" i="11" l="1"/>
  <c r="I345" i="11" s="1"/>
  <c r="F345" i="11"/>
  <c r="E345" i="11"/>
  <c r="G345" i="11" l="1"/>
  <c r="H345" i="11"/>
  <c r="J345" i="11" s="1"/>
  <c r="B346" i="11" s="1"/>
  <c r="F346" i="11" s="1"/>
  <c r="E346" i="11" l="1"/>
  <c r="G346" i="11"/>
  <c r="D346" i="11"/>
  <c r="I346" i="11" s="1"/>
  <c r="C346" i="11"/>
  <c r="H346" i="11"/>
  <c r="J346" i="11" s="1"/>
  <c r="B347" i="11" s="1"/>
  <c r="C347" i="11" l="1"/>
  <c r="E347" i="11"/>
  <c r="D347" i="11"/>
  <c r="F347" i="11"/>
  <c r="G347" i="11" s="1"/>
  <c r="I347" i="11"/>
  <c r="H347" i="11" s="1"/>
  <c r="J347" i="11" s="1"/>
  <c r="B348" i="11" s="1"/>
  <c r="C348" i="11" l="1"/>
  <c r="D348" i="11"/>
  <c r="F348" i="11"/>
  <c r="E348" i="11"/>
  <c r="G348" i="11" s="1"/>
  <c r="M51" i="11" s="1"/>
  <c r="I348" i="11"/>
  <c r="O51" i="11" s="1"/>
  <c r="H348" i="11" l="1"/>
  <c r="J348" i="11" l="1"/>
  <c r="B349" i="11" s="1"/>
  <c r="F349" i="11" s="1"/>
  <c r="N51" i="11"/>
  <c r="I349" i="11" l="1"/>
  <c r="E349" i="11"/>
  <c r="G349" i="11" s="1"/>
  <c r="C349" i="11"/>
  <c r="D349" i="11"/>
  <c r="H349" i="11"/>
  <c r="J349" i="11" l="1"/>
  <c r="B350" i="11" s="1"/>
  <c r="D350" i="11" s="1"/>
  <c r="C350" i="11" l="1"/>
  <c r="I350" i="11"/>
  <c r="F350" i="11"/>
  <c r="G350" i="11" s="1"/>
  <c r="E350" i="11"/>
  <c r="H350" i="11"/>
  <c r="J350" i="11" l="1"/>
  <c r="B351" i="11" s="1"/>
  <c r="C351" i="11" l="1"/>
  <c r="E351" i="11"/>
  <c r="D351" i="11"/>
  <c r="I351" i="11" s="1"/>
  <c r="F351" i="11"/>
  <c r="G351" i="11" l="1"/>
  <c r="H351" i="11"/>
  <c r="J351" i="11"/>
  <c r="B352" i="11" s="1"/>
  <c r="F352" i="11" l="1"/>
  <c r="D352" i="11"/>
  <c r="I352" i="11" s="1"/>
  <c r="C352" i="11"/>
  <c r="E352" i="11"/>
  <c r="G352" i="11" s="1"/>
  <c r="H352" i="11" l="1"/>
  <c r="J352" i="11"/>
  <c r="B353" i="11" s="1"/>
  <c r="C353" i="11" l="1"/>
  <c r="D353" i="11"/>
  <c r="E353" i="11"/>
  <c r="F353" i="11"/>
  <c r="G353" i="11" l="1"/>
  <c r="I353" i="11"/>
  <c r="H353" i="11" s="1"/>
  <c r="J353" i="11" s="1"/>
  <c r="B354" i="11" s="1"/>
  <c r="E354" i="11" l="1"/>
  <c r="D354" i="11"/>
  <c r="I354" i="11" s="1"/>
  <c r="F354" i="11"/>
  <c r="C354" i="11"/>
  <c r="H354" i="11" l="1"/>
  <c r="J354" i="11" s="1"/>
  <c r="B355" i="11" s="1"/>
  <c r="G354" i="11"/>
  <c r="E355" i="11" l="1"/>
  <c r="D355" i="11"/>
  <c r="I355" i="11" s="1"/>
  <c r="C355" i="11"/>
  <c r="F355" i="11"/>
  <c r="H355" i="11"/>
  <c r="J355" i="11" s="1"/>
  <c r="B356" i="11" s="1"/>
  <c r="G355" i="11"/>
  <c r="E356" i="11" l="1"/>
  <c r="C356" i="11"/>
  <c r="D356" i="11"/>
  <c r="I356" i="11" s="1"/>
  <c r="F356" i="11"/>
  <c r="G356" i="11" s="1"/>
  <c r="H356" i="11" l="1"/>
  <c r="J356" i="11" s="1"/>
  <c r="B357" i="11" s="1"/>
  <c r="E357" i="11" l="1"/>
  <c r="C357" i="11"/>
  <c r="D357" i="11"/>
  <c r="I357" i="11" s="1"/>
  <c r="F357" i="11"/>
  <c r="G357" i="11"/>
  <c r="H357" i="11"/>
  <c r="J357" i="11" s="1"/>
  <c r="B358" i="11" s="1"/>
  <c r="D358" i="11" l="1"/>
  <c r="E358" i="11"/>
  <c r="I358" i="11"/>
  <c r="F358" i="11"/>
  <c r="H358" i="11" s="1"/>
  <c r="J358" i="11" s="1"/>
  <c r="B359" i="11" s="1"/>
  <c r="C358" i="11"/>
  <c r="G358" i="11"/>
  <c r="C359" i="11" l="1"/>
  <c r="F359" i="11"/>
  <c r="E359" i="11"/>
  <c r="G359" i="11" s="1"/>
  <c r="D359" i="11"/>
  <c r="I359" i="11" l="1"/>
  <c r="H359" i="11" s="1"/>
  <c r="J359" i="11"/>
  <c r="B360" i="11" s="1"/>
  <c r="F360" i="11" l="1"/>
  <c r="D360" i="11"/>
  <c r="E360" i="11"/>
  <c r="C360" i="11"/>
  <c r="I360" i="11" l="1"/>
  <c r="O52" i="11" s="1"/>
  <c r="G360" i="11"/>
  <c r="M52" i="11" s="1"/>
  <c r="H360" i="11" l="1"/>
  <c r="N52" i="11" l="1"/>
  <c r="J360" i="11"/>
  <c r="B361" i="11" s="1"/>
  <c r="F361" i="11" l="1"/>
  <c r="E361" i="11"/>
  <c r="C361" i="11"/>
  <c r="D361" i="11"/>
  <c r="G361" i="11"/>
  <c r="I361" i="11" l="1"/>
  <c r="H361" i="11" s="1"/>
  <c r="J361" i="11" s="1"/>
  <c r="B362" i="11" s="1"/>
  <c r="D362" i="11" l="1"/>
  <c r="I362" i="11" s="1"/>
  <c r="C362" i="11"/>
  <c r="F362" i="11"/>
  <c r="E362" i="11"/>
  <c r="H362" i="11" s="1"/>
  <c r="G362" i="11" l="1"/>
  <c r="J362" i="11"/>
  <c r="B363" i="11" s="1"/>
  <c r="C363" i="11" l="1"/>
  <c r="D363" i="11"/>
  <c r="F363" i="11"/>
  <c r="I363" i="11"/>
  <c r="E363" i="11"/>
  <c r="G363" i="11" s="1"/>
  <c r="H363" i="11" l="1"/>
  <c r="J363" i="11" s="1"/>
  <c r="B364" i="11" s="1"/>
  <c r="E364" i="11" l="1"/>
  <c r="F364" i="11"/>
  <c r="D364" i="11"/>
  <c r="I364" i="11" s="1"/>
  <c r="H364" i="11" s="1"/>
  <c r="J364" i="11" s="1"/>
  <c r="B365" i="11" s="1"/>
  <c r="C364" i="11"/>
  <c r="C365" i="11" l="1"/>
  <c r="F365" i="11"/>
  <c r="E365" i="11"/>
  <c r="G365" i="11" s="1"/>
  <c r="D365" i="11"/>
  <c r="I365" i="11" s="1"/>
  <c r="H365" i="11" s="1"/>
  <c r="J365" i="11" s="1"/>
  <c r="B366" i="11" s="1"/>
  <c r="G364" i="11"/>
  <c r="D366" i="11" l="1"/>
  <c r="I366" i="11" s="1"/>
  <c r="C366" i="11"/>
  <c r="E366" i="11"/>
  <c r="F366" i="11"/>
  <c r="G366" i="11" s="1"/>
  <c r="H366" i="11" l="1"/>
  <c r="J366" i="11" s="1"/>
  <c r="B367" i="11" s="1"/>
  <c r="F367" i="11" l="1"/>
  <c r="E367" i="11"/>
  <c r="C367" i="11"/>
  <c r="D367" i="11"/>
  <c r="I367" i="11"/>
  <c r="H367" i="11" s="1"/>
  <c r="J367" i="11" s="1"/>
  <c r="B368" i="11" s="1"/>
  <c r="G367" i="11"/>
  <c r="C368" i="11" l="1"/>
  <c r="D368" i="11"/>
  <c r="I368" i="11" s="1"/>
  <c r="F368" i="11"/>
  <c r="E368" i="11"/>
  <c r="G368" i="11" s="1"/>
  <c r="H368" i="11"/>
  <c r="J368" i="11" s="1"/>
  <c r="B369" i="11" s="1"/>
  <c r="D369" i="11" s="1"/>
  <c r="I369" i="11" s="1"/>
  <c r="E369" i="11" l="1"/>
  <c r="C369" i="11"/>
  <c r="F369" i="11"/>
  <c r="G369" i="11"/>
  <c r="H369" i="11" l="1"/>
  <c r="J369" i="11" s="1"/>
  <c r="B370" i="11" s="1"/>
  <c r="F370" i="11" l="1"/>
  <c r="D370" i="11"/>
  <c r="E370" i="11"/>
  <c r="C370" i="11"/>
  <c r="I370" i="11" l="1"/>
  <c r="H370" i="11"/>
  <c r="J370" i="11" s="1"/>
  <c r="B371" i="11" s="1"/>
  <c r="G370" i="11"/>
  <c r="C371" i="11" l="1"/>
  <c r="E371" i="11"/>
  <c r="F371" i="11"/>
  <c r="G371" i="11" s="1"/>
  <c r="D371" i="11"/>
  <c r="I371" i="11" s="1"/>
  <c r="H371" i="11" s="1"/>
  <c r="J371" i="11" s="1"/>
  <c r="B372" i="11" s="1"/>
  <c r="C372" i="11" l="1"/>
  <c r="E372" i="11"/>
  <c r="D372" i="11"/>
  <c r="I372" i="11" s="1"/>
  <c r="O53" i="11" s="1"/>
  <c r="F372" i="11"/>
  <c r="H372" i="11" s="1"/>
  <c r="J372" i="11" s="1"/>
  <c r="B373" i="11" s="1"/>
  <c r="G372" i="11"/>
  <c r="M53" i="11" s="1"/>
  <c r="N53" i="11" l="1"/>
  <c r="C373" i="11"/>
  <c r="D373" i="11"/>
  <c r="E373" i="11"/>
  <c r="F373" i="11"/>
  <c r="I373" i="11"/>
  <c r="G373" i="11" l="1"/>
  <c r="H373" i="11"/>
  <c r="J373" i="11" l="1"/>
  <c r="B374" i="11" s="1"/>
  <c r="F374" i="11" l="1"/>
  <c r="E374" i="11"/>
  <c r="D374" i="11"/>
  <c r="I374" i="11" s="1"/>
  <c r="C374" i="11"/>
  <c r="G374" i="11" l="1"/>
  <c r="H374" i="11"/>
  <c r="J374" i="11" s="1"/>
  <c r="B375" i="11" s="1"/>
  <c r="D375" i="11" l="1"/>
  <c r="I375" i="11" s="1"/>
  <c r="F375" i="11"/>
  <c r="E375" i="11"/>
  <c r="G375" i="11" s="1"/>
  <c r="C375" i="11"/>
  <c r="H375" i="11" l="1"/>
  <c r="J375" i="11" s="1"/>
  <c r="B376" i="11" s="1"/>
  <c r="F376" i="11" l="1"/>
  <c r="E376" i="11"/>
  <c r="C376" i="11"/>
  <c r="D376" i="11"/>
  <c r="I376" i="11" s="1"/>
  <c r="H376" i="11" s="1"/>
  <c r="J376" i="11" s="1"/>
  <c r="B377" i="11" s="1"/>
  <c r="D377" i="11" l="1"/>
  <c r="I377" i="11"/>
  <c r="F377" i="11"/>
  <c r="C377" i="11"/>
  <c r="E377" i="11"/>
  <c r="H377" i="11" s="1"/>
  <c r="J377" i="11" s="1"/>
  <c r="B378" i="11" s="1"/>
  <c r="G377" i="11"/>
  <c r="G376" i="11"/>
  <c r="C378" i="11" l="1"/>
  <c r="E378" i="11"/>
  <c r="F378" i="11"/>
  <c r="D378" i="11"/>
  <c r="G378" i="11"/>
  <c r="I378" i="11" l="1"/>
  <c r="H378" i="11" s="1"/>
  <c r="J378" i="11" s="1"/>
  <c r="B379" i="11" s="1"/>
  <c r="F379" i="11" l="1"/>
  <c r="C379" i="11"/>
  <c r="E379" i="11"/>
  <c r="G379" i="11"/>
  <c r="D379" i="11"/>
  <c r="I379" i="11" s="1"/>
  <c r="H379" i="11" l="1"/>
  <c r="J379" i="11" s="1"/>
  <c r="B380" i="11" s="1"/>
  <c r="F380" i="11" l="1"/>
  <c r="E380" i="11"/>
  <c r="D380" i="11"/>
  <c r="I380" i="11" s="1"/>
  <c r="C380" i="11"/>
  <c r="G380" i="11"/>
  <c r="H380" i="11" l="1"/>
  <c r="J380" i="11" s="1"/>
  <c r="B381" i="11" s="1"/>
  <c r="D381" i="11" l="1"/>
  <c r="I381" i="11" s="1"/>
  <c r="F381" i="11"/>
  <c r="C381" i="11"/>
  <c r="E381" i="11"/>
  <c r="G381" i="11"/>
  <c r="H381" i="11"/>
  <c r="J381" i="11" s="1"/>
  <c r="B382" i="11" s="1"/>
  <c r="F382" i="11" l="1"/>
  <c r="D382" i="11"/>
  <c r="I382" i="11" s="1"/>
  <c r="E382" i="11"/>
  <c r="C382" i="11"/>
  <c r="G382" i="11"/>
  <c r="H382" i="11"/>
  <c r="J382" i="11" s="1"/>
  <c r="B383" i="11" s="1"/>
  <c r="D383" i="11" l="1"/>
  <c r="I383" i="11" s="1"/>
  <c r="E383" i="11"/>
  <c r="G383" i="11" s="1"/>
  <c r="F383" i="11"/>
  <c r="C383" i="11"/>
  <c r="H383" i="11" l="1"/>
  <c r="J383" i="11" s="1"/>
  <c r="B384" i="11" s="1"/>
  <c r="E384" i="11" l="1"/>
  <c r="F384" i="11"/>
  <c r="E20" i="11" s="1"/>
  <c r="E19" i="11"/>
  <c r="D384" i="11"/>
  <c r="I384" i="11" s="1"/>
  <c r="C384" i="11"/>
  <c r="G384" i="11"/>
  <c r="M54" i="11" s="1"/>
  <c r="O54" i="11" l="1"/>
  <c r="E21" i="11"/>
  <c r="H384" i="11"/>
  <c r="N54" i="11" l="1"/>
  <c r="J384" i="11"/>
</calcChain>
</file>

<file path=xl/sharedStrings.xml><?xml version="1.0" encoding="utf-8"?>
<sst xmlns="http://schemas.openxmlformats.org/spreadsheetml/2006/main" count="668" uniqueCount="262">
  <si>
    <t xml:space="preserve">Levelized Cost of Electricity [EUR/kWh] </t>
  </si>
  <si>
    <t>kWh</t>
  </si>
  <si>
    <t>Annual degradation</t>
  </si>
  <si>
    <t>%</t>
  </si>
  <si>
    <t>Investment</t>
  </si>
  <si>
    <t>EUR</t>
  </si>
  <si>
    <t>OPEX</t>
  </si>
  <si>
    <t>EUR/kW</t>
  </si>
  <si>
    <t>Year</t>
  </si>
  <si>
    <t>CAPEX</t>
  </si>
  <si>
    <t>Annual energy production</t>
  </si>
  <si>
    <t xml:space="preserve">Interested rate </t>
  </si>
  <si>
    <t>LCOE</t>
  </si>
  <si>
    <t>Levelized Cost of Electricity</t>
  </si>
  <si>
    <t>Data System</t>
  </si>
  <si>
    <t>kWh/kWp</t>
  </si>
  <si>
    <t>Specific yield</t>
  </si>
  <si>
    <t xml:space="preserve">Nominal capacity of the system </t>
  </si>
  <si>
    <t>kWp</t>
  </si>
  <si>
    <t>Energy generated</t>
  </si>
  <si>
    <t>EUR/kWp</t>
  </si>
  <si>
    <t>Maintenance &amp; Operation</t>
  </si>
  <si>
    <t>IRR</t>
  </si>
  <si>
    <t>NPV</t>
  </si>
  <si>
    <t xml:space="preserve">Economic indicators </t>
  </si>
  <si>
    <t>Actual</t>
  </si>
  <si>
    <t>Energy production</t>
  </si>
  <si>
    <t>Opex</t>
  </si>
  <si>
    <t>Energy Sale</t>
  </si>
  <si>
    <t>Energy sale price</t>
  </si>
  <si>
    <t>EUR/kWh</t>
  </si>
  <si>
    <t>Cash flow</t>
  </si>
  <si>
    <t>Accumulated flow</t>
  </si>
  <si>
    <t>years</t>
  </si>
  <si>
    <t xml:space="preserve">EUR </t>
  </si>
  <si>
    <t>Payback</t>
  </si>
  <si>
    <t>PayBack</t>
  </si>
  <si>
    <t>discount factor</t>
  </si>
  <si>
    <t>Increase % om</t>
  </si>
  <si>
    <t>30% + debido a estructura apv</t>
  </si>
  <si>
    <t>Life time</t>
  </si>
  <si>
    <t>increase 2% per year</t>
  </si>
  <si>
    <t>pvgis</t>
  </si>
  <si>
    <t>Time period</t>
  </si>
  <si>
    <t>Discount factor</t>
  </si>
  <si>
    <t>Present Value of Energy</t>
  </si>
  <si>
    <t>Equity</t>
  </si>
  <si>
    <t>Debt</t>
  </si>
  <si>
    <t>Cost of equity</t>
  </si>
  <si>
    <t>Cost of debt</t>
  </si>
  <si>
    <t>Tax rate</t>
  </si>
  <si>
    <t>Equity: Debt ratio</t>
  </si>
  <si>
    <t>WACC (nominal)</t>
  </si>
  <si>
    <t>Inflation rate</t>
  </si>
  <si>
    <t>WACC (real)</t>
  </si>
  <si>
    <r>
      <t>WACC</t>
    </r>
    <r>
      <rPr>
        <vertAlign val="subscript"/>
        <sz val="12"/>
        <color theme="1"/>
        <rFont val="Calibri (Cuerpo)"/>
      </rPr>
      <t>real</t>
    </r>
  </si>
  <si>
    <r>
      <t>WACC</t>
    </r>
    <r>
      <rPr>
        <vertAlign val="subscript"/>
        <sz val="12"/>
        <color theme="1"/>
        <rFont val="Calibri (Cuerpo)"/>
      </rPr>
      <t>nominal</t>
    </r>
  </si>
  <si>
    <t xml:space="preserve">Model Levelized Cost of Electricity </t>
  </si>
  <si>
    <t>To use this workbook:</t>
  </si>
  <si>
    <t xml:space="preserve">Project Specific Inputs </t>
  </si>
  <si>
    <t>General</t>
  </si>
  <si>
    <t>System</t>
  </si>
  <si>
    <t>Operation and Maintenance</t>
  </si>
  <si>
    <t>Capital costs</t>
  </si>
  <si>
    <t>Income</t>
  </si>
  <si>
    <t>Results</t>
  </si>
  <si>
    <t xml:space="preserve"> </t>
  </si>
  <si>
    <t xml:space="preserve">Project analysis tools </t>
  </si>
  <si>
    <t xml:space="preserve">The payback period of a project is the amount of time it takes to recover the cost of an investment through the cash flows generated by the investment. The payback period provides a simple assessment of investment recovery, it does not consider the time value of money or the specific profitability of the investment. </t>
  </si>
  <si>
    <t>Internal Rate of Return [IRR]</t>
  </si>
  <si>
    <t xml:space="preserve">The Internal Rate of Return (IRR) is a crucial metric for evaluating the profitability of an investment. It represents the discount rate at which the net present value (NPV) of the project's expected cash flows equals zero. 
If the IRR is higher than the required rate of return, the investment is considered attractive and likely to generate positive returns. Conversely, if the IRR is lower than the required rate of return, the project is considered less attractive and less likely to generate positive returns. </t>
  </si>
  <si>
    <t>Net Present Value [NPV]</t>
  </si>
  <si>
    <t xml:space="preserve">A positive NPV indicates that the projected earnings (inflows) exceed the anticipated costs (outflows) and the investment is expected to generate positive returns. </t>
  </si>
  <si>
    <t>Weighted Average Cost of Capital</t>
  </si>
  <si>
    <t xml:space="preserve">The Weighted Average Cost of Capital (WACC) is a key financial metric used to evaluate the cost of capital for a project.
The WACC is used as the discount rate for evaluating the attractiveness of a project or investment. A project is considered worthwhile if it can deliver returns higher than the WACC. It serves as a hurdle rate, and if an investment opportunity has a lower Internal Rate of Return than its WACC, it is generally not considered an attractive investment. </t>
  </si>
  <si>
    <t>The Weighted Average Cost of Capital (WACC) is considered in the calculation of the levelized cost of energy (LCOE) because it reflects the blended cost of capital across all sources, including equity and debt. 
By incorporating the WACC, the LCOE calculation accounts for the cost of financing the project, which is a significant component, especially in long-term projects.</t>
  </si>
  <si>
    <t xml:space="preserve">Calculate LCoE considering the WACC? </t>
  </si>
  <si>
    <t>The LCoE takes into account the total cost of building and operating the energy-generating asset, including factors such as upfront capital costs, annual operating expenses, and the expected lifetime of the system. It is a crucial metric for comparing the cost of electricity generation from different sources and for assessing the profitability and viability of energy projects. A lower LCOE indicates a more cost-competitive energy source</t>
  </si>
  <si>
    <t>No</t>
  </si>
  <si>
    <t>Yes</t>
  </si>
  <si>
    <t xml:space="preserve">1. </t>
  </si>
  <si>
    <r>
      <t>The nominal WACC does not account for inflation. It is the blended cost of capital, including equity and debt, without adjusting for the impact of inflation on the cost of capital.
It is commonly used in practice and serves as the discount rate for nominal cash flows,</t>
    </r>
    <r>
      <rPr>
        <b/>
        <sz val="12"/>
        <color theme="1"/>
        <rFont val="Calibri"/>
        <family val="2"/>
        <scheme val="minor"/>
      </rPr>
      <t xml:space="preserve"> which include inflation.</t>
    </r>
  </si>
  <si>
    <r>
      <t xml:space="preserve">The real WACC factors in inflation and, therefore, is lower, all other things being equal, than a nominal WACC.
It is used as the discount rate for real cash flows, which </t>
    </r>
    <r>
      <rPr>
        <b/>
        <sz val="12"/>
        <color theme="1"/>
        <rFont val="Calibri"/>
        <family val="2"/>
        <scheme val="minor"/>
      </rPr>
      <t>exclude the impact of inflation</t>
    </r>
    <r>
      <rPr>
        <sz val="12"/>
        <color theme="1"/>
        <rFont val="Calibri"/>
        <family val="2"/>
        <scheme val="minor"/>
      </rPr>
      <t>.</t>
    </r>
  </si>
  <si>
    <t>LCoE</t>
  </si>
  <si>
    <t>WACCC                    Yes = 1, No =  0</t>
  </si>
  <si>
    <t>Average annual inflation rate between 1964 and 2022</t>
  </si>
  <si>
    <t>Yearly increase in O&amp;M costs</t>
  </si>
  <si>
    <t>The feed-in tariff is granted for 18 years in Mauritius</t>
  </si>
  <si>
    <t>Conservative assumption that O&amp;M costs will increase</t>
  </si>
  <si>
    <t>E</t>
  </si>
  <si>
    <t>D</t>
  </si>
  <si>
    <r>
      <t>R</t>
    </r>
    <r>
      <rPr>
        <vertAlign val="subscript"/>
        <sz val="12"/>
        <color theme="1"/>
        <rFont val="Calibri"/>
        <family val="2"/>
        <scheme val="minor"/>
      </rPr>
      <t>e</t>
    </r>
  </si>
  <si>
    <r>
      <t>R</t>
    </r>
    <r>
      <rPr>
        <vertAlign val="subscript"/>
        <sz val="12"/>
        <color theme="1"/>
        <rFont val="Calibri"/>
        <family val="2"/>
        <scheme val="minor"/>
      </rPr>
      <t>d</t>
    </r>
  </si>
  <si>
    <r>
      <t>T</t>
    </r>
    <r>
      <rPr>
        <vertAlign val="subscript"/>
        <sz val="12"/>
        <color theme="1"/>
        <rFont val="Calibri"/>
        <family val="2"/>
        <scheme val="minor"/>
      </rPr>
      <t>c</t>
    </r>
  </si>
  <si>
    <t>Value</t>
  </si>
  <si>
    <t>CAPEX value</t>
  </si>
  <si>
    <t>V</t>
  </si>
  <si>
    <t>Features of this calculation tool</t>
  </si>
  <si>
    <t xml:space="preserve">With this LCoE Excel spreadsheet it is possible to calculate crucial economic parameters for a Renewable Energy System (RES) for a period of up to 30 years. </t>
  </si>
  <si>
    <t>.2</t>
  </si>
  <si>
    <t>Start with the Sheet 'Inputs &amp; Results' and complete the light blue marked cells undert the headline "Project Specific Inputs"</t>
  </si>
  <si>
    <t>Standard FIT tariff in Mauritius of Rs 4.2/kWh used for calculation</t>
  </si>
  <si>
    <t xml:space="preserve">Economic performance parameters are: LCoE, NPV, IRR and Payback period. These are provded - together with some explanations and guideance - at sheet  "Inputs &amp; Results" </t>
  </si>
  <si>
    <t>The results (economic performance parameters) can be found at the same Sheet 'Inputs &amp; Results' and starting with the headline "Levelized Cost of Electricity"</t>
  </si>
  <si>
    <t>3.</t>
  </si>
  <si>
    <t>A visualisation of the cumulated cash flow is provided in sheet 'Payback'</t>
  </si>
  <si>
    <t xml:space="preserve">4. </t>
  </si>
  <si>
    <t>Input parameters</t>
  </si>
  <si>
    <t>Colour &amp; Format code</t>
  </si>
  <si>
    <t>Explanations</t>
  </si>
  <si>
    <t>Explanations for these values</t>
  </si>
  <si>
    <t>Typical equity rate</t>
  </si>
  <si>
    <t>NPV &amp; IRR</t>
  </si>
  <si>
    <t>see PVGIS</t>
  </si>
  <si>
    <t>Typical annual degradation of PV panel performance</t>
  </si>
  <si>
    <t>Typically 2% of CAPEX per year</t>
  </si>
  <si>
    <t xml:space="preserve">Created by: </t>
  </si>
  <si>
    <t>PSE Projects GmbH</t>
  </si>
  <si>
    <t>www.pse-projects.de</t>
  </si>
  <si>
    <t xml:space="preserve">Feedback to: </t>
  </si>
  <si>
    <t>warmuth@pse-projects.de</t>
  </si>
  <si>
    <t xml:space="preserve">Sheet 'Calculations' is considered to be an auxiliary table and should NOT be changed. </t>
  </si>
  <si>
    <t>Do not change</t>
  </si>
  <si>
    <t>Annual profit or loss from agriculture</t>
  </si>
  <si>
    <t>Agricultural influence discounted</t>
  </si>
  <si>
    <t>Agricultural influence</t>
  </si>
  <si>
    <r>
      <t>Discount factor with WACC</t>
    </r>
    <r>
      <rPr>
        <vertAlign val="subscript"/>
        <sz val="12"/>
        <color theme="1"/>
        <rFont val="Calibri"/>
        <family val="2"/>
        <scheme val="minor"/>
      </rPr>
      <t>nominal</t>
    </r>
  </si>
  <si>
    <t xml:space="preserve">Choose zero if no impact from agriculture shall be considered in the LCOE calculation. For costs, a negative value has to be inserted, for profit a positive value. </t>
  </si>
  <si>
    <t xml:space="preserve">Default is "No" meaning that the Nominal interested rate as inserted in cell C8 will be used for the discount rate. If "Yes" is selected, the nominal WACC calculated from sheet 'WACC' will be used for the dicount rate. </t>
  </si>
  <si>
    <t xml:space="preserve">Nominal interest rate </t>
  </si>
  <si>
    <t>Interest rate without WACC</t>
  </si>
  <si>
    <r>
      <t>Interest rate with WACC</t>
    </r>
    <r>
      <rPr>
        <vertAlign val="subscript"/>
        <sz val="12"/>
        <color theme="1"/>
        <rFont val="Calibri"/>
        <family val="2"/>
        <scheme val="minor"/>
      </rPr>
      <t>nominal</t>
    </r>
  </si>
  <si>
    <r>
      <t>Interest rate with WACC</t>
    </r>
    <r>
      <rPr>
        <vertAlign val="subscript"/>
        <sz val="12"/>
        <color theme="1"/>
        <rFont val="Calibri"/>
        <family val="2"/>
        <scheme val="minor"/>
      </rPr>
      <t>real</t>
    </r>
  </si>
  <si>
    <t xml:space="preserve">Changelog: </t>
  </si>
  <si>
    <t>Optimal Azimuth changed to -147° (according to PV GIS optimised Azimuth);
Cost of capital (interest rates) included; 
Missing formula in sheet “Calculations” in cell 'C65' fixed (thanks to feedback from Brendon Bingwa, ISE);
Error message intercepted in "Calculations" sheet.</t>
  </si>
  <si>
    <t>https://www.xe.com/de/currencyconverter/convert/?Amount=4.2&amp;From=MUR&amp;To=EUR</t>
  </si>
  <si>
    <t>5.</t>
  </si>
  <si>
    <t xml:space="preserve">To use 7% discount rate was recommended for Mauritius. No repayment of interest is considered. Insert "0" if the cost of capital for borrowed capital is not to be included in the calculation. </t>
  </si>
  <si>
    <t xml:space="preserve">To use 7% discount rate was recommended for Mauritius. No repayment of interest is considered. Insert "0" if the capital costs for equity are not to be taken into account in the calculation. </t>
  </si>
  <si>
    <t>Loan calculation taking into account unscheduled repayments</t>
  </si>
  <si>
    <t>Credit framework data</t>
  </si>
  <si>
    <t>Year 1</t>
  </si>
  <si>
    <t>Loan amount</t>
  </si>
  <si>
    <t>Year 2</t>
  </si>
  <si>
    <t>Interest rate p.a.</t>
  </si>
  <si>
    <t>Year 3</t>
  </si>
  <si>
    <t>Term in years</t>
  </si>
  <si>
    <t>Year 4</t>
  </si>
  <si>
    <t>Payment date</t>
  </si>
  <si>
    <t>Year 5</t>
  </si>
  <si>
    <t>Monthly special repayment</t>
  </si>
  <si>
    <t>Year 6</t>
  </si>
  <si>
    <t>Year 7</t>
  </si>
  <si>
    <t>Further information</t>
  </si>
  <si>
    <t>Scheduled monthly annuity</t>
  </si>
  <si>
    <t>Number of scheduled payments</t>
  </si>
  <si>
    <t>Number of actual payments</t>
  </si>
  <si>
    <t>Total unscheduled repayments</t>
  </si>
  <si>
    <t>Total interest</t>
  </si>
  <si>
    <t>Payment plan</t>
  </si>
  <si>
    <t>N°. Month</t>
  </si>
  <si>
    <t>Remaining debt at the beginning of the month</t>
  </si>
  <si>
    <t>Annuity</t>
  </si>
  <si>
    <t>Special repayment</t>
  </si>
  <si>
    <t>Payment Total amount</t>
  </si>
  <si>
    <t>Repayment</t>
  </si>
  <si>
    <t xml:space="preserve">Interest	</t>
  </si>
  <si>
    <t>Remaining debt at the end of the month</t>
  </si>
  <si>
    <t>Debt Service Coverage Ratio [DSCR]</t>
  </si>
  <si>
    <t>from 'Inputs&amp;Results' sheet</t>
  </si>
  <si>
    <t>Specific Yield (kWh/kWp)</t>
  </si>
  <si>
    <t>System Price (€/kWp)</t>
  </si>
  <si>
    <t>Tracking</t>
  </si>
  <si>
    <t xml:space="preserve">Debt Interest Rate </t>
  </si>
  <si>
    <t>Amortization</t>
  </si>
  <si>
    <t xml:space="preserve">Loan Tenor Sensitivity </t>
  </si>
  <si>
    <t>Fixed</t>
  </si>
  <si>
    <t>Loan Tenor</t>
  </si>
  <si>
    <t>LCOE [€/kWh]</t>
  </si>
  <si>
    <t>IRR [%]</t>
  </si>
  <si>
    <t>LCOE [€/MWh]</t>
  </si>
  <si>
    <t>Amortization [years]</t>
  </si>
  <si>
    <t>dependent variable</t>
  </si>
  <si>
    <t>Debt Interest Rate</t>
  </si>
  <si>
    <t xml:space="preserve">Not defined values or negative values need to be deleted in the table manually. </t>
  </si>
  <si>
    <t xml:space="preserve">For 1000 m² of land about 60 kWp Agrivoltaic system can be installed for arable farming [1]. With this information, you can calculate the actual capacity of your Agrivoltaic system with a given piece of land. This should be sufficiently accurate for a rough economic assessment. </t>
  </si>
  <si>
    <t xml:space="preserve">Source: </t>
  </si>
  <si>
    <t xml:space="preserve">Hermann, C. et al. (2022) Agrivoltaics : Opportunities for Agri- culture and the Energy Transition Publishing notes. </t>
  </si>
  <si>
    <t xml:space="preserve">Available at: </t>
  </si>
  <si>
    <t>https://www.ise.fraunhofer.de/content/dam/ise/en/documents/publications/studies/APV-Guideline.pdf</t>
  </si>
  <si>
    <t>[1]</t>
  </si>
  <si>
    <t>p. 33</t>
  </si>
  <si>
    <t xml:space="preserve">Bug fixed: When inserting loan calculation, the CAPEX was doubled. Cross-check with a tool for Germany was successful. </t>
  </si>
  <si>
    <t>Change of Parameters</t>
  </si>
  <si>
    <t>Default</t>
  </si>
  <si>
    <t>[A]
System Price (€/kWp)</t>
  </si>
  <si>
    <t xml:space="preserve">Although this calculation tool has been extensively tested, no liability can be accepted for the accuracy of the calculations. For economic decisions, a comparison tool (such as PV GIS or a commercial design and simulation tool) should always be used to rule out errors. The creators of this calculation tool exclude any liability for possible damages that may result from its use. </t>
  </si>
  <si>
    <r>
      <t xml:space="preserve">Mauritius GPS coordinates (middle of the island) are: -20.275, 57.570; optimal slope angle 20°. The azimuth, or orientation, is the angle of the PV modules relative to the direction due South. - 90° is East, 0° is South, 90° is West and </t>
    </r>
    <r>
      <rPr>
        <sz val="12"/>
        <color theme="1"/>
        <rFont val="Aptos Narrow"/>
        <family val="2"/>
      </rPr>
      <t>±</t>
    </r>
    <r>
      <rPr>
        <i/>
        <sz val="12"/>
        <color theme="1"/>
        <rFont val="Calibri"/>
        <family val="2"/>
        <scheme val="minor"/>
      </rPr>
      <t>180° is North.</t>
    </r>
  </si>
  <si>
    <t xml:space="preserve">The Net Present Value is a measure used to evaluate the profitability of an investment. It represents the difference between the present value of cash inflows and outflows over the project's life, discounted at a specified rate. It considers the time value of money, providing a comprehensive view of the potential profitability of an investment. A negative NPV indicates that a project is not economically viable. </t>
  </si>
  <si>
    <t xml:space="preserve">The debt service coverage ratio is the amount of cash a company has to service/pay its current debt obligations (interest on a debt, principal payment, lease payment, etc.). The DSCR shows investors and lenders whether a project company is generating enough income to pay off its debts. It is calculated by dividing the company’s net operating income by its debt obligations for that particular year. No interest on equity capital is considered in above calculated value. </t>
  </si>
  <si>
    <t xml:space="preserve">7.0% discount rate for Mauritius was recommended. This value is used as the discount factor to calculate the LCOE without considering the WACC table. </t>
  </si>
  <si>
    <t>Energy sale</t>
  </si>
  <si>
    <t>Loan repayment</t>
  </si>
  <si>
    <t>Residual debt</t>
  </si>
  <si>
    <t>Year 8</t>
  </si>
  <si>
    <t>Year 9</t>
  </si>
  <si>
    <t>Year 10</t>
  </si>
  <si>
    <t>Year 11</t>
  </si>
  <si>
    <t>Year 12</t>
  </si>
  <si>
    <t>Year 13</t>
  </si>
  <si>
    <t>Year 14</t>
  </si>
  <si>
    <t>Year 15</t>
  </si>
  <si>
    <t>Year 16</t>
  </si>
  <si>
    <t>Year 17</t>
  </si>
  <si>
    <t>Year 18</t>
  </si>
  <si>
    <t>Year 19</t>
  </si>
  <si>
    <t>Year 20</t>
  </si>
  <si>
    <t>Year 21</t>
  </si>
  <si>
    <t>Year 22</t>
  </si>
  <si>
    <t>Year 23</t>
  </si>
  <si>
    <t>Year 24</t>
  </si>
  <si>
    <t>Year 25</t>
  </si>
  <si>
    <t>Year 26</t>
  </si>
  <si>
    <t>Year 27</t>
  </si>
  <si>
    <t>Year 28</t>
  </si>
  <si>
    <t>Year 29</t>
  </si>
  <si>
    <t>Year 30</t>
  </si>
  <si>
    <t>Present Value of Opex incl. Debt and loan repayment</t>
  </si>
  <si>
    <t>Debt interests</t>
  </si>
  <si>
    <t>Cash flow of discounted values</t>
  </si>
  <si>
    <t>Discounted Energy sale</t>
  </si>
  <si>
    <t>Cumulative Cash flow</t>
  </si>
  <si>
    <t>per year</t>
  </si>
  <si>
    <t>Sum of Cash flow of discounted values</t>
  </si>
  <si>
    <t>Discounted Totals</t>
  </si>
  <si>
    <t xml:space="preserve">This value has only an influence if nominal WACC is considered. </t>
  </si>
  <si>
    <t>Sheets for sensitivity analysis with Macros added.</t>
  </si>
  <si>
    <t xml:space="preserve">Final check by Brendon Bingwa from Fraunhofer ISE and by Werner Warmuth. </t>
  </si>
  <si>
    <t xml:space="preserve">DSCR = Annual Net Operating Income / Total Debt Service </t>
  </si>
  <si>
    <t xml:space="preserve">While </t>
  </si>
  <si>
    <t>Annual Net Operating Income = energy sale + agricultural income</t>
  </si>
  <si>
    <t>Total Debt Service = Debt interest + Loan repayment</t>
  </si>
  <si>
    <t>Energy Sales Price (EUR/kWh)</t>
  </si>
  <si>
    <t>= 4.2 MUR/kWp</t>
  </si>
  <si>
    <t>[B]
Energy Sales Price (€/kWh)</t>
  </si>
  <si>
    <t>[C]
Interest rate (%)</t>
  </si>
  <si>
    <t>[D]
Specific yield (kWh/kWp)</t>
  </si>
  <si>
    <t>Default Cost of debt</t>
  </si>
  <si>
    <t>Default Specific Yield</t>
  </si>
  <si>
    <t>[A] LCOE CAPEX [ct€/kWh]</t>
  </si>
  <si>
    <t>[B] LCOE Energy Sales Price [ct€/kWh]</t>
  </si>
  <si>
    <t>[C] LCOE Interest rate [ct€/kWh]</t>
  </si>
  <si>
    <t>[D] LCOE Specific yield [ct€/kWh]</t>
  </si>
  <si>
    <t>Absolute LCOE Sensitivity added in Sheet 'SensitivityLCOE' by Werner Warmuth.</t>
  </si>
  <si>
    <t>v2024-02-23</t>
  </si>
  <si>
    <t>[E] System Lifetime (years)</t>
  </si>
  <si>
    <t>[E] LCOE System Lifetime  [ct€/kWh]</t>
  </si>
  <si>
    <r>
      <t xml:space="preserve">[A] </t>
    </r>
    <r>
      <rPr>
        <b/>
        <sz val="11"/>
        <color theme="1"/>
        <rFont val="Calibri"/>
        <family val="2"/>
      </rPr>
      <t xml:space="preserve">Δ </t>
    </r>
    <r>
      <rPr>
        <b/>
        <sz val="11"/>
        <color theme="1"/>
        <rFont val="Calibri"/>
        <family val="2"/>
        <scheme val="minor"/>
      </rPr>
      <t>LCOE CAPEX  [ct€/kWh]</t>
    </r>
  </si>
  <si>
    <r>
      <t xml:space="preserve">[B] </t>
    </r>
    <r>
      <rPr>
        <b/>
        <sz val="11"/>
        <color theme="1"/>
        <rFont val="Calibri"/>
        <family val="2"/>
      </rPr>
      <t xml:space="preserve">Δ </t>
    </r>
    <r>
      <rPr>
        <b/>
        <sz val="11"/>
        <color theme="1"/>
        <rFont val="Calibri"/>
        <family val="2"/>
        <scheme val="minor"/>
      </rPr>
      <t>LCOE Energy Sales Price  [ct€/kWh]</t>
    </r>
  </si>
  <si>
    <t>[C] Δ LCOE Interest rate  [ct€/kWh]</t>
  </si>
  <si>
    <t>[D] Δ LCOE Specific yield  [ct€/kWh]</t>
  </si>
  <si>
    <t>[E] Δ LCOE System Lifetime   [ct€/kWh]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</si>
</sst>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0.00\ &quot;€&quot;_-;\-* #,##0.00\ &quot;€&quot;_-;_-* &quot;-&quot;??\ &quot;€&quot;_-;_-@_-"/>
    <numFmt numFmtId="43" formatCode="_-* #,##0.00_-;\-* #,##0.00_-;_-* &quot;-&quot;??_-;_-@_-"/>
    <numFmt numFmtId="164" formatCode="_-&quot;$&quot;* #,##0.00_-;\-&quot;$&quot;* #,##0.00_-;_-&quot;$&quot;* &quot;-&quot;??_-;_-@_-"/>
    <numFmt numFmtId="165" formatCode="#,##0.00\ [$€-407]"/>
    <numFmt numFmtId="166" formatCode="0.0%"/>
    <numFmt numFmtId="167" formatCode="_-* #,##0.00\ [$€-140C]_-;\-* #,##0.00\ [$€-140C]_-;_-* &quot;-&quot;??\ [$€-140C]_-;_-@_-"/>
    <numFmt numFmtId="168" formatCode="_-* #,##0.00\ [$€-1]_-;\-* #,##0.00\ [$€-1]_-;_-* &quot;-&quot;??\ [$€-1]_-;_-@_-"/>
    <numFmt numFmtId="169" formatCode="#,##0.000\ [$€-407]"/>
    <numFmt numFmtId="170" formatCode="_-* #,##0.00\ [$€-407]_-;\-* #,##0.00\ [$€-407]_-;_-* &quot;-&quot;??\ [$€-407]_-;_-@_-"/>
    <numFmt numFmtId="171" formatCode="_-* #,##0\ [$€-407]_-;\-* #,##0\ [$€-407]_-;_-* &quot;-&quot;??\ [$€-407]_-;_-@_-"/>
    <numFmt numFmtId="172" formatCode="0.00000000000000000%"/>
    <numFmt numFmtId="173" formatCode="[$€-2]\ #,##0.00"/>
    <numFmt numFmtId="174" formatCode="_-* #,##0.0\ [$€-407]_-;\-* #,##0.0\ [$€-407]_-;_-* &quot;-&quot;??\ [$€-407]_-;_-@_-"/>
    <numFmt numFmtId="175" formatCode="#,##0.0000\ [$€-407]"/>
    <numFmt numFmtId="176" formatCode="_-* #,##0.0000\ [$€-407]_-;\-* #,##0.0000\ [$€-407]_-;_-* &quot;-&quot;??\ [$€-407]_-;_-@_-"/>
    <numFmt numFmtId="177" formatCode="_-* #,##0.000\ [$€-407]_-;\-* #,##0.000\ [$€-407]_-;_-* &quot;-&quot;??\ [$€-407]_-;_-@_-"/>
  </numFmts>
  <fonts count="36">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sz val="12"/>
      <color rgb="FFFF0000"/>
      <name val="Calibri"/>
      <family val="2"/>
      <scheme val="minor"/>
    </font>
    <font>
      <vertAlign val="subscript"/>
      <sz val="12"/>
      <color theme="1"/>
      <name val="Calibri (Cuerpo)"/>
    </font>
    <font>
      <sz val="15"/>
      <color rgb="FF000000"/>
      <name val="Calibri"/>
      <family val="2"/>
      <scheme val="minor"/>
    </font>
    <font>
      <sz val="12"/>
      <name val="Calibri"/>
      <family val="2"/>
      <scheme val="minor"/>
    </font>
    <font>
      <u/>
      <sz val="12"/>
      <color theme="10"/>
      <name val="Calibri"/>
      <family val="2"/>
      <scheme val="minor"/>
    </font>
    <font>
      <vertAlign val="subscript"/>
      <sz val="12"/>
      <color theme="1"/>
      <name val="Calibri"/>
      <family val="2"/>
      <scheme val="minor"/>
    </font>
    <font>
      <i/>
      <sz val="12"/>
      <color theme="1"/>
      <name val="Calibri"/>
      <family val="2"/>
      <scheme val="minor"/>
    </font>
    <font>
      <i/>
      <u/>
      <sz val="12"/>
      <color theme="10"/>
      <name val="Calibri"/>
      <family val="2"/>
      <scheme val="minor"/>
    </font>
    <font>
      <u/>
      <sz val="12"/>
      <color theme="1"/>
      <name val="Calibri"/>
      <family val="2"/>
      <scheme val="minor"/>
    </font>
    <font>
      <sz val="10"/>
      <name val="Arial"/>
      <family val="2"/>
    </font>
    <font>
      <b/>
      <sz val="18"/>
      <color indexed="62"/>
      <name val="Verdana"/>
      <family val="2"/>
    </font>
    <font>
      <b/>
      <sz val="12"/>
      <name val="Verdana"/>
      <family val="2"/>
    </font>
    <font>
      <b/>
      <sz val="12"/>
      <color indexed="62"/>
      <name val="Verdana"/>
      <family val="2"/>
    </font>
    <font>
      <sz val="10"/>
      <name val="Century Gothic"/>
      <family val="2"/>
    </font>
    <font>
      <b/>
      <sz val="10"/>
      <name val="Arial"/>
      <family val="2"/>
    </font>
    <font>
      <sz val="10"/>
      <name val="Arial"/>
      <family val="2"/>
    </font>
    <font>
      <sz val="10"/>
      <color indexed="8"/>
      <name val="Arial"/>
      <family val="2"/>
    </font>
    <font>
      <sz val="10"/>
      <color indexed="57"/>
      <name val="Arial"/>
      <family val="2"/>
    </font>
    <font>
      <sz val="10"/>
      <color indexed="9"/>
      <name val="Arial"/>
      <family val="2"/>
    </font>
    <font>
      <b/>
      <sz val="10"/>
      <color indexed="8"/>
      <name val="Arial"/>
      <family val="2"/>
    </font>
    <font>
      <sz val="11"/>
      <color rgb="FF000000"/>
      <name val="Calibri"/>
      <family val="2"/>
      <scheme val="minor"/>
    </font>
    <font>
      <b/>
      <sz val="11"/>
      <color rgb="FF000000"/>
      <name val="Calibri"/>
      <family val="2"/>
      <scheme val="minor"/>
    </font>
    <font>
      <b/>
      <sz val="11"/>
      <color theme="1"/>
      <name val="Calibri"/>
      <family val="2"/>
      <scheme val="minor"/>
    </font>
    <font>
      <i/>
      <sz val="10"/>
      <name val="Arial"/>
      <family val="2"/>
    </font>
    <font>
      <i/>
      <sz val="11"/>
      <color theme="1"/>
      <name val="Calibri"/>
      <family val="2"/>
      <scheme val="minor"/>
    </font>
    <font>
      <b/>
      <sz val="11"/>
      <color theme="1"/>
      <name val="Calibri"/>
      <family val="2"/>
    </font>
    <font>
      <sz val="12"/>
      <color theme="1"/>
      <name val="Aptos Narrow"/>
      <family val="2"/>
    </font>
    <font>
      <sz val="8"/>
      <name val="Calibri"/>
      <family val="2"/>
      <scheme val="minor"/>
    </font>
  </fonts>
  <fills count="15">
    <fill>
      <patternFill patternType="none"/>
    </fill>
    <fill>
      <patternFill patternType="gray125"/>
    </fill>
    <fill>
      <patternFill patternType="solid">
        <fgColor theme="7" tint="0.59999389629810485"/>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indexed="9"/>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14999847407452621"/>
        <bgColor indexed="64"/>
      </patternFill>
    </fill>
  </fills>
  <borders count="57">
    <border>
      <left/>
      <right/>
      <top/>
      <bottom/>
      <diagonal/>
    </border>
    <border>
      <left style="thin">
        <color theme="2" tint="-0.749961851863155"/>
      </left>
      <right style="medium">
        <color theme="2" tint="-0.749961851863155"/>
      </right>
      <top style="thin">
        <color theme="2" tint="-0.749961851863155"/>
      </top>
      <bottom style="medium">
        <color theme="2" tint="-0.749961851863155"/>
      </bottom>
      <diagonal/>
    </border>
    <border>
      <left style="thin">
        <color theme="2" tint="-0.749961851863155"/>
      </left>
      <right style="thin">
        <color theme="2" tint="-0.749961851863155"/>
      </right>
      <top style="thin">
        <color theme="2" tint="-0.749961851863155"/>
      </top>
      <bottom style="thin">
        <color theme="2" tint="-0.749961851863155"/>
      </bottom>
      <diagonal/>
    </border>
    <border>
      <left style="thin">
        <color theme="2" tint="-0.749961851863155"/>
      </left>
      <right style="medium">
        <color theme="2" tint="-0.749961851863155"/>
      </right>
      <top style="thin">
        <color theme="2" tint="-0.749961851863155"/>
      </top>
      <bottom style="thin">
        <color theme="2" tint="-0.749961851863155"/>
      </bottom>
      <diagonal/>
    </border>
    <border>
      <left style="thin">
        <color theme="2" tint="-0.749961851863155"/>
      </left>
      <right style="thin">
        <color theme="2" tint="-0.749961851863155"/>
      </right>
      <top style="thin">
        <color theme="2" tint="-0.749961851863155"/>
      </top>
      <bottom style="medium">
        <color theme="2" tint="-0.749961851863155"/>
      </bottom>
      <diagonal/>
    </border>
    <border>
      <left/>
      <right style="medium">
        <color theme="2" tint="-0.749961851863155"/>
      </right>
      <top style="thin">
        <color theme="2" tint="-0.749961851863155"/>
      </top>
      <bottom style="medium">
        <color theme="2" tint="-0.749961851863155"/>
      </bottom>
      <diagonal/>
    </border>
    <border>
      <left style="thin">
        <color theme="2" tint="-0.749961851863155"/>
      </left>
      <right/>
      <top style="thin">
        <color theme="2" tint="-0.749961851863155"/>
      </top>
      <bottom style="thin">
        <color theme="2" tint="-0.749961851863155"/>
      </bottom>
      <diagonal/>
    </border>
    <border>
      <left style="thin">
        <color theme="2" tint="-0.749961851863155"/>
      </left>
      <right/>
      <top style="thin">
        <color theme="2" tint="-0.749961851863155"/>
      </top>
      <bottom style="medium">
        <color theme="2" tint="-0.749961851863155"/>
      </bottom>
      <diagonal/>
    </border>
    <border>
      <left/>
      <right style="medium">
        <color theme="2" tint="-0.749961851863155"/>
      </right>
      <top style="thin">
        <color theme="2" tint="-0.749961851863155"/>
      </top>
      <bottom style="thin">
        <color theme="2" tint="-0.749961851863155"/>
      </bottom>
      <diagonal/>
    </border>
    <border>
      <left style="thin">
        <color theme="2" tint="-0.749961851863155"/>
      </left>
      <right style="thin">
        <color theme="2" tint="-0.749961851863155"/>
      </right>
      <top style="thin">
        <color theme="2" tint="-0.749961851863155"/>
      </top>
      <bottom/>
      <diagonal/>
    </border>
    <border>
      <left style="thin">
        <color theme="2" tint="-0.749961851863155"/>
      </left>
      <right/>
      <top style="thin">
        <color theme="2" tint="-0.749961851863155"/>
      </top>
      <bottom/>
      <diagonal/>
    </border>
    <border>
      <left/>
      <right style="medium">
        <color theme="2" tint="-0.749961851863155"/>
      </right>
      <top style="thin">
        <color theme="2" tint="-0.749961851863155"/>
      </top>
      <bottom/>
      <diagonal/>
    </border>
    <border>
      <left style="thin">
        <color theme="2" tint="-0.749961851863155"/>
      </left>
      <right style="thin">
        <color theme="2" tint="-0.749961851863155"/>
      </right>
      <top/>
      <bottom style="thin">
        <color theme="2" tint="-0.749961851863155"/>
      </bottom>
      <diagonal/>
    </border>
    <border>
      <left style="thin">
        <color indexed="64"/>
      </left>
      <right style="thin">
        <color indexed="64"/>
      </right>
      <top style="thin">
        <color indexed="64"/>
      </top>
      <bottom style="thin">
        <color indexed="64"/>
      </bottom>
      <diagonal/>
    </border>
    <border>
      <left style="thin">
        <color theme="3" tint="-0.24994659260841701"/>
      </left>
      <right/>
      <top style="thin">
        <color theme="3" tint="-0.24994659260841701"/>
      </top>
      <bottom style="medium">
        <color theme="3" tint="-0.24994659260841701"/>
      </bottom>
      <diagonal/>
    </border>
    <border>
      <left/>
      <right/>
      <top style="thin">
        <color theme="3" tint="-0.24994659260841701"/>
      </top>
      <bottom style="medium">
        <color theme="3" tint="-0.24994659260841701"/>
      </bottom>
      <diagonal/>
    </border>
    <border>
      <left/>
      <right style="medium">
        <color theme="3" tint="-0.24994659260841701"/>
      </right>
      <top style="thin">
        <color theme="3" tint="-0.24994659260841701"/>
      </top>
      <bottom style="medium">
        <color theme="3" tint="-0.24994659260841701"/>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24994659260841701"/>
      </left>
      <right style="thin">
        <color theme="3" tint="-0.24994659260841701"/>
      </right>
      <top style="thin">
        <color theme="3" tint="-0.24994659260841701"/>
      </top>
      <bottom style="medium">
        <color theme="3" tint="-0.24994659260841701"/>
      </bottom>
      <diagonal/>
    </border>
    <border>
      <left/>
      <right style="medium">
        <color theme="3" tint="-0.24994659260841701"/>
      </right>
      <top style="thin">
        <color theme="3" tint="-0.24994659260841701"/>
      </top>
      <bottom style="thin">
        <color theme="3" tint="-0.24994659260841701"/>
      </bottom>
      <diagonal/>
    </border>
    <border>
      <left/>
      <right/>
      <top style="medium">
        <color theme="2" tint="-0.749961851863155"/>
      </top>
      <bottom/>
      <diagonal/>
    </border>
    <border>
      <left style="thin">
        <color auto="1"/>
      </left>
      <right/>
      <top style="thin">
        <color theme="3" tint="-0.24994659260841701"/>
      </top>
      <bottom style="medium">
        <color theme="3" tint="-0.24994659260841701"/>
      </bottom>
      <diagonal/>
    </border>
    <border>
      <left/>
      <right style="medium">
        <color theme="3" tint="-0.24994659260841701"/>
      </right>
      <top style="thin">
        <color theme="3" tint="-0.24994659260841701"/>
      </top>
      <bottom style="medium">
        <color theme="2" tint="-0.7499618518631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thin">
        <color auto="1"/>
      </top>
      <bottom style="thin">
        <color indexed="64"/>
      </bottom>
      <diagonal/>
    </border>
    <border>
      <left/>
      <right style="medium">
        <color theme="3" tint="-0.24994659260841701"/>
      </right>
      <top style="thin">
        <color theme="3" tint="-0.24994659260841701"/>
      </top>
      <bottom/>
      <diagonal/>
    </border>
    <border>
      <left style="thin">
        <color theme="2" tint="-0.749961851863155"/>
      </left>
      <right/>
      <top style="thin">
        <color theme="2" tint="-0.749961851863155"/>
      </top>
      <bottom style="thin">
        <color indexed="64"/>
      </bottom>
      <diagonal/>
    </border>
    <border>
      <left style="thin">
        <color theme="2" tint="-0.749961851863155"/>
      </left>
      <right style="thin">
        <color theme="2" tint="-0.749961851863155"/>
      </right>
      <top/>
      <bottom style="medium">
        <color theme="2" tint="-0.749961851863155"/>
      </bottom>
      <diagonal/>
    </border>
    <border>
      <left style="thin">
        <color theme="2" tint="-0.749961851863155"/>
      </left>
      <right/>
      <top/>
      <bottom style="medium">
        <color theme="2" tint="-0.749961851863155"/>
      </bottom>
      <diagonal/>
    </border>
    <border>
      <left style="thin">
        <color theme="2" tint="-0.749961851863155"/>
      </left>
      <right style="thin">
        <color theme="2" tint="-0.749961851863155"/>
      </right>
      <top style="thin">
        <color theme="2" tint="-0.749961851863155"/>
      </top>
      <bottom style="thin">
        <color indexed="64"/>
      </bottom>
      <diagonal/>
    </border>
    <border>
      <left/>
      <right/>
      <top/>
      <bottom style="dashed">
        <color indexed="55"/>
      </bottom>
      <diagonal/>
    </border>
    <border>
      <left style="thin">
        <color indexed="55"/>
      </left>
      <right style="thin">
        <color indexed="55"/>
      </right>
      <top style="thin">
        <color indexed="55"/>
      </top>
      <bottom style="dashed">
        <color indexed="55"/>
      </bottom>
      <diagonal/>
    </border>
    <border>
      <left/>
      <right/>
      <top style="dashed">
        <color indexed="55"/>
      </top>
      <bottom style="dashed">
        <color indexed="55"/>
      </bottom>
      <diagonal/>
    </border>
    <border>
      <left style="thin">
        <color indexed="55"/>
      </left>
      <right style="thin">
        <color indexed="55"/>
      </right>
      <top style="dashed">
        <color indexed="55"/>
      </top>
      <bottom style="dashed">
        <color indexed="55"/>
      </bottom>
      <diagonal/>
    </border>
    <border>
      <left style="medium">
        <color indexed="55"/>
      </left>
      <right/>
      <top style="medium">
        <color indexed="55"/>
      </top>
      <bottom style="medium">
        <color indexed="55"/>
      </bottom>
      <diagonal/>
    </border>
    <border>
      <left/>
      <right/>
      <top style="medium">
        <color indexed="55"/>
      </top>
      <bottom style="medium">
        <color indexed="55"/>
      </bottom>
      <diagonal/>
    </border>
    <border>
      <left/>
      <right style="medium">
        <color indexed="55"/>
      </right>
      <top style="medium">
        <color indexed="55"/>
      </top>
      <bottom style="medium">
        <color indexed="55"/>
      </bottom>
      <diagonal/>
    </border>
    <border>
      <left style="thick">
        <color theme="5"/>
      </left>
      <right/>
      <top style="thick">
        <color theme="5"/>
      </top>
      <bottom/>
      <diagonal/>
    </border>
    <border>
      <left/>
      <right/>
      <top style="thick">
        <color theme="5"/>
      </top>
      <bottom/>
      <diagonal/>
    </border>
    <border>
      <left/>
      <right style="thick">
        <color theme="5"/>
      </right>
      <top style="thick">
        <color theme="5"/>
      </top>
      <bottom/>
      <diagonal/>
    </border>
    <border>
      <left style="thick">
        <color theme="5"/>
      </left>
      <right/>
      <top/>
      <bottom/>
      <diagonal/>
    </border>
    <border>
      <left/>
      <right style="thick">
        <color theme="5"/>
      </right>
      <top/>
      <bottom/>
      <diagonal/>
    </border>
    <border>
      <left style="thick">
        <color theme="5"/>
      </left>
      <right/>
      <top/>
      <bottom style="thick">
        <color theme="5"/>
      </bottom>
      <diagonal/>
    </border>
    <border>
      <left/>
      <right/>
      <top/>
      <bottom style="thick">
        <color theme="5"/>
      </bottom>
      <diagonal/>
    </border>
    <border>
      <left/>
      <right style="thick">
        <color theme="5"/>
      </right>
      <top/>
      <bottom style="thick">
        <color theme="5"/>
      </bottom>
      <diagonal/>
    </border>
    <border>
      <left style="medium">
        <color indexed="64"/>
      </left>
      <right/>
      <top style="medium">
        <color indexed="64"/>
      </top>
      <bottom/>
      <diagonal/>
    </border>
    <border>
      <left/>
      <right/>
      <top style="medium">
        <color indexed="64"/>
      </top>
      <bottom style="medium">
        <color indexed="55"/>
      </bottom>
      <diagonal/>
    </border>
    <border>
      <left/>
      <right style="medium">
        <color indexed="64"/>
      </right>
      <top style="medium">
        <color indexed="64"/>
      </top>
      <bottom style="medium">
        <color indexed="55"/>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s>
  <cellStyleXfs count="8">
    <xf numFmtId="0" fontId="0" fillId="0" borderId="0"/>
    <xf numFmtId="9" fontId="6" fillId="0" borderId="0" applyFont="0" applyFill="0" applyBorder="0" applyAlignment="0" applyProtection="0"/>
    <xf numFmtId="164" fontId="6" fillId="0" borderId="0" applyFont="0" applyFill="0" applyBorder="0" applyAlignment="0" applyProtection="0"/>
    <xf numFmtId="43" fontId="6" fillId="0" borderId="0" applyFont="0" applyFill="0" applyBorder="0" applyAlignment="0" applyProtection="0"/>
    <xf numFmtId="0" fontId="12" fillId="0" borderId="0" applyNumberFormat="0" applyFill="0" applyBorder="0" applyAlignment="0" applyProtection="0"/>
    <xf numFmtId="0" fontId="17" fillId="0" borderId="0"/>
    <xf numFmtId="44" fontId="17" fillId="0" borderId="0" applyFont="0" applyFill="0" applyBorder="0" applyAlignment="0" applyProtection="0"/>
    <xf numFmtId="0" fontId="5" fillId="0" borderId="0"/>
  </cellStyleXfs>
  <cellXfs count="320">
    <xf numFmtId="0" fontId="0" fillId="0" borderId="0" xfId="0"/>
    <xf numFmtId="0" fontId="0" fillId="0" borderId="0" xfId="0" applyAlignment="1">
      <alignment horizontal="center" vertical="center"/>
    </xf>
    <xf numFmtId="0" fontId="0" fillId="0" borderId="0" xfId="0" applyAlignment="1">
      <alignment horizontal="left" indent="1"/>
    </xf>
    <xf numFmtId="9" fontId="0" fillId="0" borderId="0" xfId="1" applyFont="1" applyFill="1" applyAlignment="1">
      <alignment horizontal="right" vertical="center" indent="1"/>
    </xf>
    <xf numFmtId="0" fontId="0" fillId="0" borderId="2" xfId="0" applyBorder="1" applyAlignment="1">
      <alignment horizontal="left" indent="1"/>
    </xf>
    <xf numFmtId="0" fontId="0" fillId="0" borderId="4" xfId="0" applyBorder="1" applyAlignment="1">
      <alignment horizontal="left" indent="1"/>
    </xf>
    <xf numFmtId="3" fontId="0" fillId="3" borderId="6" xfId="0" applyNumberFormat="1" applyFill="1" applyBorder="1" applyAlignment="1">
      <alignment horizontal="right" vertical="center" indent="1"/>
    </xf>
    <xf numFmtId="166" fontId="0" fillId="3" borderId="7" xfId="1" applyNumberFormat="1" applyFont="1" applyFill="1" applyBorder="1" applyAlignment="1">
      <alignment horizontal="right" vertical="center" indent="1"/>
    </xf>
    <xf numFmtId="0" fontId="0" fillId="0" borderId="8" xfId="0" applyBorder="1" applyAlignment="1">
      <alignment horizontal="left" indent="1"/>
    </xf>
    <xf numFmtId="0" fontId="0" fillId="0" borderId="5" xfId="0" applyBorder="1" applyAlignment="1">
      <alignment horizontal="left" indent="1"/>
    </xf>
    <xf numFmtId="0" fontId="0" fillId="0" borderId="2" xfId="0" applyBorder="1" applyAlignment="1">
      <alignment horizontal="center" vertical="center"/>
    </xf>
    <xf numFmtId="0" fontId="0" fillId="0" borderId="4" xfId="0" applyBorder="1" applyAlignment="1">
      <alignment horizontal="center" vertical="center"/>
    </xf>
    <xf numFmtId="165" fontId="0" fillId="3" borderId="7" xfId="0" applyNumberFormat="1" applyFill="1" applyBorder="1" applyAlignment="1">
      <alignment horizontal="right" vertical="center" indent="1"/>
    </xf>
    <xf numFmtId="0" fontId="7" fillId="0" borderId="0" xfId="0" applyFont="1" applyAlignment="1">
      <alignment vertical="center"/>
    </xf>
    <xf numFmtId="165" fontId="0" fillId="0" borderId="7" xfId="0" applyNumberFormat="1" applyBorder="1" applyAlignment="1">
      <alignment horizontal="right" vertical="center" indent="1"/>
    </xf>
    <xf numFmtId="165" fontId="0" fillId="0" borderId="2" xfId="0" applyNumberFormat="1" applyBorder="1" applyAlignment="1">
      <alignment horizontal="right" indent="1"/>
    </xf>
    <xf numFmtId="3" fontId="0" fillId="0" borderId="2" xfId="0" applyNumberFormat="1" applyBorder="1" applyAlignment="1">
      <alignment horizontal="right" vertical="center" indent="1"/>
    </xf>
    <xf numFmtId="165" fontId="0" fillId="0" borderId="3" xfId="0" applyNumberFormat="1" applyBorder="1" applyAlignment="1">
      <alignment horizontal="right" indent="1"/>
    </xf>
    <xf numFmtId="0" fontId="0" fillId="0" borderId="2" xfId="0" applyBorder="1"/>
    <xf numFmtId="3" fontId="0" fillId="0" borderId="4" xfId="0" applyNumberFormat="1" applyBorder="1" applyAlignment="1">
      <alignment horizontal="right" vertical="center" indent="1"/>
    </xf>
    <xf numFmtId="165" fontId="0" fillId="0" borderId="4" xfId="0" applyNumberFormat="1" applyBorder="1" applyAlignment="1">
      <alignment horizontal="right" indent="1"/>
    </xf>
    <xf numFmtId="165" fontId="0" fillId="0" borderId="1" xfId="0" applyNumberFormat="1" applyBorder="1" applyAlignment="1">
      <alignment horizontal="right" indent="1"/>
    </xf>
    <xf numFmtId="0" fontId="0" fillId="4" borderId="2" xfId="0"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5" borderId="2" xfId="0" applyFill="1" applyBorder="1" applyAlignment="1">
      <alignment horizontal="center" vertical="center"/>
    </xf>
    <xf numFmtId="0" fontId="0" fillId="0" borderId="4" xfId="0" applyBorder="1" applyAlignment="1">
      <alignment horizontal="center" vertical="center" wrapText="1"/>
    </xf>
    <xf numFmtId="10" fontId="0" fillId="3" borderId="7" xfId="1" applyNumberFormat="1" applyFont="1" applyFill="1" applyBorder="1" applyAlignment="1">
      <alignment horizontal="right" vertical="center" indent="1"/>
    </xf>
    <xf numFmtId="0" fontId="0" fillId="0" borderId="2" xfId="0" applyBorder="1" applyAlignment="1">
      <alignment horizontal="left" vertical="center" indent="1"/>
    </xf>
    <xf numFmtId="3" fontId="0" fillId="0" borderId="6" xfId="0" applyNumberFormat="1" applyBorder="1" applyAlignment="1">
      <alignment horizontal="right" vertical="center" indent="1"/>
    </xf>
    <xf numFmtId="165" fontId="0" fillId="3" borderId="10" xfId="0" applyNumberFormat="1" applyFill="1" applyBorder="1" applyAlignment="1">
      <alignment horizontal="right" vertical="center" indent="1"/>
    </xf>
    <xf numFmtId="0" fontId="0" fillId="0" borderId="11" xfId="0" applyBorder="1" applyAlignment="1">
      <alignment horizontal="left" indent="1"/>
    </xf>
    <xf numFmtId="165" fontId="0" fillId="0" borderId="10" xfId="0" applyNumberFormat="1" applyBorder="1" applyAlignment="1">
      <alignment horizontal="right" vertical="center" indent="1"/>
    </xf>
    <xf numFmtId="165" fontId="0" fillId="0" borderId="6" xfId="0" applyNumberFormat="1" applyBorder="1" applyAlignment="1">
      <alignment horizontal="right" vertical="center" indent="1"/>
    </xf>
    <xf numFmtId="0" fontId="0" fillId="0" borderId="4" xfId="0" applyBorder="1"/>
    <xf numFmtId="0" fontId="0" fillId="0" borderId="0" xfId="0" applyAlignment="1">
      <alignment horizontal="center" vertical="center" wrapText="1"/>
    </xf>
    <xf numFmtId="10" fontId="0" fillId="0" borderId="0" xfId="1" applyNumberFormat="1" applyFont="1" applyFill="1" applyBorder="1" applyAlignment="1">
      <alignment horizontal="right" vertical="center" indent="1"/>
    </xf>
    <xf numFmtId="165" fontId="8" fillId="0" borderId="2" xfId="0" applyNumberFormat="1" applyFont="1" applyBorder="1" applyAlignment="1">
      <alignment horizontal="right" indent="1"/>
    </xf>
    <xf numFmtId="165" fontId="8" fillId="0" borderId="4" xfId="0" applyNumberFormat="1" applyFont="1" applyBorder="1" applyAlignment="1">
      <alignment horizontal="right" indent="1"/>
    </xf>
    <xf numFmtId="10" fontId="0" fillId="0" borderId="6" xfId="1" applyNumberFormat="1" applyFont="1" applyBorder="1" applyAlignment="1">
      <alignment horizontal="right" vertical="center" indent="1"/>
    </xf>
    <xf numFmtId="2" fontId="0" fillId="0" borderId="6" xfId="0" applyNumberFormat="1" applyBorder="1" applyAlignment="1">
      <alignment horizontal="right" vertical="center" indent="1"/>
    </xf>
    <xf numFmtId="0" fontId="7" fillId="0" borderId="0" xfId="0" applyFont="1" applyAlignment="1">
      <alignment horizontal="center" vertical="center"/>
    </xf>
    <xf numFmtId="49" fontId="0" fillId="0" borderId="0" xfId="0" applyNumberFormat="1"/>
    <xf numFmtId="0" fontId="0" fillId="0" borderId="0" xfId="0" applyAlignment="1">
      <alignment horizontal="center"/>
    </xf>
    <xf numFmtId="3" fontId="0" fillId="0" borderId="0" xfId="0" applyNumberFormat="1" applyAlignment="1">
      <alignment horizontal="right" vertical="center" indent="1"/>
    </xf>
    <xf numFmtId="165" fontId="0" fillId="0" borderId="0" xfId="0" applyNumberFormat="1" applyAlignment="1">
      <alignment horizontal="right" indent="1"/>
    </xf>
    <xf numFmtId="0" fontId="0" fillId="0" borderId="13" xfId="0" applyBorder="1"/>
    <xf numFmtId="165" fontId="0" fillId="0" borderId="0" xfId="0" applyNumberFormat="1"/>
    <xf numFmtId="167" fontId="0" fillId="0" borderId="0" xfId="0" applyNumberFormat="1"/>
    <xf numFmtId="10" fontId="0" fillId="0" borderId="6" xfId="1" applyNumberFormat="1" applyFont="1" applyFill="1" applyBorder="1" applyAlignment="1">
      <alignment horizontal="right" vertical="center" indent="1"/>
    </xf>
    <xf numFmtId="0" fontId="0" fillId="0" borderId="9" xfId="0" applyBorder="1" applyAlignment="1">
      <alignment horizontal="left" indent="1"/>
    </xf>
    <xf numFmtId="0" fontId="0" fillId="0" borderId="0" xfId="0" applyAlignment="1">
      <alignment horizontal="right"/>
    </xf>
    <xf numFmtId="10" fontId="0" fillId="0" borderId="6" xfId="1" applyNumberFormat="1" applyFont="1" applyBorder="1"/>
    <xf numFmtId="10" fontId="0" fillId="0" borderId="7" xfId="1" applyNumberFormat="1" applyFont="1" applyFill="1" applyBorder="1" applyAlignment="1">
      <alignment horizontal="right" vertical="center" indent="1"/>
    </xf>
    <xf numFmtId="13" fontId="0" fillId="0" borderId="7" xfId="0" applyNumberFormat="1" applyBorder="1"/>
    <xf numFmtId="0" fontId="0" fillId="6" borderId="2" xfId="0" applyFill="1" applyBorder="1" applyAlignment="1">
      <alignment horizontal="center" vertical="center"/>
    </xf>
    <xf numFmtId="0" fontId="0" fillId="6" borderId="2" xfId="0" applyFill="1" applyBorder="1"/>
    <xf numFmtId="3" fontId="0" fillId="6" borderId="2" xfId="0" applyNumberFormat="1" applyFill="1" applyBorder="1" applyAlignment="1">
      <alignment horizontal="right" vertical="center" indent="1"/>
    </xf>
    <xf numFmtId="165" fontId="8" fillId="6" borderId="2" xfId="0" applyNumberFormat="1" applyFont="1" applyFill="1" applyBorder="1" applyAlignment="1">
      <alignment horizontal="right" indent="1"/>
    </xf>
    <xf numFmtId="165" fontId="0" fillId="6" borderId="2" xfId="0" applyNumberFormat="1" applyFill="1" applyBorder="1" applyAlignment="1">
      <alignment horizontal="right" indent="1"/>
    </xf>
    <xf numFmtId="165" fontId="0" fillId="6" borderId="3" xfId="0" applyNumberFormat="1" applyFill="1" applyBorder="1" applyAlignment="1">
      <alignment horizontal="right" indent="1"/>
    </xf>
    <xf numFmtId="0" fontId="0" fillId="0" borderId="0" xfId="0" quotePrefix="1"/>
    <xf numFmtId="0" fontId="0" fillId="0" borderId="17" xfId="0" applyBorder="1" applyAlignment="1">
      <alignment horizontal="left" indent="1"/>
    </xf>
    <xf numFmtId="0" fontId="0" fillId="0" borderId="18" xfId="0" applyBorder="1" applyAlignment="1">
      <alignment horizontal="left" indent="1"/>
    </xf>
    <xf numFmtId="0" fontId="0" fillId="0" borderId="19" xfId="0" applyBorder="1" applyAlignment="1">
      <alignment horizontal="left" indent="1"/>
    </xf>
    <xf numFmtId="0" fontId="0" fillId="0" borderId="16" xfId="0" applyBorder="1" applyAlignment="1">
      <alignment horizontal="left" indent="1"/>
    </xf>
    <xf numFmtId="0" fontId="0" fillId="0" borderId="0" xfId="0" applyAlignment="1">
      <alignment horizontal="left" vertical="center" wrapText="1"/>
    </xf>
    <xf numFmtId="2" fontId="0" fillId="0" borderId="7" xfId="0" applyNumberFormat="1" applyBorder="1" applyAlignment="1">
      <alignment horizontal="right" vertical="center" indent="1"/>
    </xf>
    <xf numFmtId="0" fontId="10" fillId="0" borderId="0" xfId="0" applyFont="1"/>
    <xf numFmtId="10" fontId="0" fillId="0" borderId="7" xfId="1" applyNumberFormat="1" applyFont="1" applyBorder="1"/>
    <xf numFmtId="10" fontId="0" fillId="0" borderId="0" xfId="1" applyNumberFormat="1" applyFont="1" applyBorder="1"/>
    <xf numFmtId="0" fontId="0" fillId="0" borderId="0" xfId="0" applyAlignment="1">
      <alignment vertical="top" wrapText="1"/>
    </xf>
    <xf numFmtId="13" fontId="0" fillId="0" borderId="7" xfId="1" applyNumberFormat="1" applyFont="1" applyBorder="1" applyAlignment="1">
      <alignment horizontal="right"/>
    </xf>
    <xf numFmtId="0" fontId="0" fillId="0" borderId="5" xfId="0" applyBorder="1"/>
    <xf numFmtId="0" fontId="0" fillId="7" borderId="3" xfId="0" applyFill="1" applyBorder="1" applyAlignment="1">
      <alignment horizontal="center" vertical="center" wrapText="1"/>
    </xf>
    <xf numFmtId="3" fontId="0" fillId="0" borderId="21" xfId="0" applyNumberFormat="1" applyBorder="1" applyAlignment="1">
      <alignment horizontal="right" vertical="center" indent="1"/>
    </xf>
    <xf numFmtId="3" fontId="0" fillId="0" borderId="6" xfId="0" applyNumberFormat="1" applyBorder="1"/>
    <xf numFmtId="165" fontId="0" fillId="0" borderId="7" xfId="0" applyNumberFormat="1" applyBorder="1"/>
    <xf numFmtId="0" fontId="0" fillId="0" borderId="5" xfId="0" applyBorder="1" applyAlignment="1">
      <alignment horizontal="left" vertical="center" indent="1"/>
    </xf>
    <xf numFmtId="4" fontId="0" fillId="0" borderId="6" xfId="0" applyNumberFormat="1" applyBorder="1"/>
    <xf numFmtId="0" fontId="0" fillId="0" borderId="8" xfId="0" applyBorder="1" applyAlignment="1">
      <alignment horizontal="left" vertical="center" indent="1"/>
    </xf>
    <xf numFmtId="166" fontId="0" fillId="0" borderId="6" xfId="1" applyNumberFormat="1" applyFont="1" applyBorder="1"/>
    <xf numFmtId="0" fontId="0" fillId="0" borderId="22" xfId="0" applyBorder="1" applyAlignment="1">
      <alignment horizontal="left" indent="1"/>
    </xf>
    <xf numFmtId="0" fontId="0" fillId="0" borderId="7" xfId="0" applyBorder="1" applyAlignment="1">
      <alignment horizontal="right" indent="1"/>
    </xf>
    <xf numFmtId="0" fontId="0" fillId="7" borderId="13" xfId="0" applyFill="1" applyBorder="1" applyAlignment="1">
      <alignment horizontal="center" vertical="center" wrapText="1"/>
    </xf>
    <xf numFmtId="1" fontId="0" fillId="0" borderId="13" xfId="0" applyNumberFormat="1" applyBorder="1" applyAlignment="1">
      <alignment horizontal="center" vertical="center"/>
    </xf>
    <xf numFmtId="0" fontId="0" fillId="0" borderId="0" xfId="0" applyAlignment="1">
      <alignment horizontal="left" vertical="center" indent="1"/>
    </xf>
    <xf numFmtId="167" fontId="0" fillId="0" borderId="10" xfId="0" applyNumberFormat="1" applyBorder="1"/>
    <xf numFmtId="10" fontId="0" fillId="0" borderId="7" xfId="0" applyNumberFormat="1" applyBorder="1"/>
    <xf numFmtId="0" fontId="0" fillId="0" borderId="11" xfId="0" applyBorder="1" applyAlignment="1">
      <alignment horizontal="left" vertical="center" indent="1"/>
    </xf>
    <xf numFmtId="0" fontId="0" fillId="7" borderId="9" xfId="0" applyFill="1" applyBorder="1" applyAlignment="1">
      <alignment horizontal="left" indent="1"/>
    </xf>
    <xf numFmtId="0" fontId="0" fillId="7" borderId="4" xfId="0" applyFill="1" applyBorder="1" applyAlignment="1">
      <alignment horizontal="left" indent="1"/>
    </xf>
    <xf numFmtId="43" fontId="11" fillId="9" borderId="0" xfId="3" applyFont="1" applyFill="1" applyAlignment="1">
      <alignment horizontal="center" vertical="center"/>
    </xf>
    <xf numFmtId="2" fontId="11" fillId="0" borderId="0" xfId="0" applyNumberFormat="1" applyFont="1" applyAlignment="1">
      <alignment horizontal="center" vertical="center"/>
    </xf>
    <xf numFmtId="9" fontId="0" fillId="0" borderId="0" xfId="1" applyFont="1"/>
    <xf numFmtId="170" fontId="0" fillId="0" borderId="8" xfId="0" applyNumberFormat="1" applyBorder="1" applyAlignment="1">
      <alignment horizontal="left" indent="1"/>
    </xf>
    <xf numFmtId="171" fontId="0" fillId="0" borderId="6" xfId="1" applyNumberFormat="1" applyFont="1" applyBorder="1"/>
    <xf numFmtId="171" fontId="0" fillId="0" borderId="0" xfId="0" applyNumberFormat="1"/>
    <xf numFmtId="172" fontId="0" fillId="0" borderId="0" xfId="0" applyNumberFormat="1"/>
    <xf numFmtId="0" fontId="14" fillId="0" borderId="0" xfId="0" applyFont="1"/>
    <xf numFmtId="0" fontId="0" fillId="0" borderId="0" xfId="0" applyAlignment="1">
      <alignment vertical="center"/>
    </xf>
    <xf numFmtId="43" fontId="0" fillId="0" borderId="0" xfId="3" applyFont="1"/>
    <xf numFmtId="0" fontId="15" fillId="0" borderId="0" xfId="4" applyFont="1"/>
    <xf numFmtId="169" fontId="0" fillId="0" borderId="7" xfId="0" applyNumberFormat="1" applyBorder="1" applyAlignment="1">
      <alignment horizontal="right" indent="1"/>
    </xf>
    <xf numFmtId="169" fontId="0" fillId="0" borderId="7" xfId="0" applyNumberFormat="1" applyBorder="1" applyAlignment="1">
      <alignment horizontal="right" vertical="center" indent="1"/>
    </xf>
    <xf numFmtId="0" fontId="12" fillId="0" borderId="0" xfId="4" applyAlignment="1">
      <alignment vertical="center"/>
    </xf>
    <xf numFmtId="0" fontId="16" fillId="0" borderId="0" xfId="0" applyFont="1" applyAlignment="1">
      <alignment vertical="center"/>
    </xf>
    <xf numFmtId="0" fontId="16" fillId="0" borderId="0" xfId="0" applyFont="1"/>
    <xf numFmtId="0" fontId="0" fillId="10" borderId="0" xfId="0" applyFill="1"/>
    <xf numFmtId="0" fontId="8" fillId="0" borderId="0" xfId="0" applyFont="1" applyAlignment="1">
      <alignment horizontal="center" vertical="center"/>
    </xf>
    <xf numFmtId="0" fontId="7" fillId="0" borderId="0" xfId="0" applyFont="1"/>
    <xf numFmtId="170" fontId="0" fillId="0" borderId="0" xfId="0" applyNumberFormat="1"/>
    <xf numFmtId="0" fontId="0" fillId="0" borderId="26" xfId="0" applyBorder="1" applyAlignment="1">
      <alignment horizontal="left" indent="1"/>
    </xf>
    <xf numFmtId="0" fontId="0" fillId="0" borderId="28" xfId="0" applyBorder="1" applyAlignment="1">
      <alignment horizontal="left" indent="1"/>
    </xf>
    <xf numFmtId="166" fontId="0" fillId="0" borderId="29" xfId="1" applyNumberFormat="1" applyFont="1" applyBorder="1"/>
    <xf numFmtId="0" fontId="0" fillId="0" borderId="30" xfId="0" applyBorder="1" applyAlignment="1">
      <alignment horizontal="left" indent="1"/>
    </xf>
    <xf numFmtId="166" fontId="0" fillId="0" borderId="27" xfId="1" applyNumberFormat="1" applyFont="1" applyBorder="1"/>
    <xf numFmtId="0" fontId="0" fillId="0" borderId="27" xfId="0" applyBorder="1" applyAlignment="1">
      <alignment horizontal="right" vertical="top" indent="1"/>
    </xf>
    <xf numFmtId="0" fontId="11" fillId="10" borderId="0" xfId="0" applyFont="1" applyFill="1"/>
    <xf numFmtId="0" fontId="11" fillId="0" borderId="0" xfId="0" applyFont="1"/>
    <xf numFmtId="14" fontId="0" fillId="0" borderId="13" xfId="0" applyNumberFormat="1" applyBorder="1" applyAlignment="1">
      <alignment horizontal="left" vertical="center"/>
    </xf>
    <xf numFmtId="0" fontId="12" fillId="0" borderId="0" xfId="4"/>
    <xf numFmtId="44" fontId="0" fillId="12" borderId="0" xfId="6" applyFont="1" applyFill="1" applyBorder="1" applyProtection="1">
      <protection locked="0"/>
    </xf>
    <xf numFmtId="0" fontId="0" fillId="3" borderId="34" xfId="6" applyNumberFormat="1" applyFont="1" applyFill="1" applyBorder="1" applyProtection="1">
      <protection locked="0"/>
    </xf>
    <xf numFmtId="14" fontId="0" fillId="3" borderId="34" xfId="6" applyNumberFormat="1" applyFont="1" applyFill="1" applyBorder="1" applyProtection="1">
      <protection locked="0"/>
    </xf>
    <xf numFmtId="44" fontId="0" fillId="3" borderId="34" xfId="6" applyFont="1" applyFill="1" applyBorder="1" applyProtection="1">
      <protection locked="0"/>
    </xf>
    <xf numFmtId="0" fontId="28" fillId="0" borderId="0" xfId="0" applyFont="1"/>
    <xf numFmtId="0" fontId="29" fillId="0" borderId="0" xfId="0" applyFont="1"/>
    <xf numFmtId="9" fontId="0" fillId="0" borderId="7" xfId="1" applyFont="1" applyBorder="1" applyAlignment="1">
      <alignment horizontal="right" vertical="center" indent="1"/>
    </xf>
    <xf numFmtId="0" fontId="5" fillId="0" borderId="0" xfId="7"/>
    <xf numFmtId="0" fontId="30" fillId="0" borderId="13" xfId="7" applyFont="1" applyBorder="1"/>
    <xf numFmtId="0" fontId="5" fillId="0" borderId="13" xfId="7" applyBorder="1"/>
    <xf numFmtId="0" fontId="30" fillId="0" borderId="0" xfId="7" applyFont="1"/>
    <xf numFmtId="0" fontId="30" fillId="0" borderId="13" xfId="7" applyFont="1" applyBorder="1" applyAlignment="1">
      <alignment wrapText="1"/>
    </xf>
    <xf numFmtId="0" fontId="30" fillId="0" borderId="0" xfId="7" applyFont="1" applyAlignment="1">
      <alignment wrapText="1"/>
    </xf>
    <xf numFmtId="174" fontId="5" fillId="0" borderId="13" xfId="7" applyNumberFormat="1" applyBorder="1"/>
    <xf numFmtId="165" fontId="0" fillId="6" borderId="10" xfId="0" applyNumberFormat="1" applyFill="1" applyBorder="1" applyAlignment="1">
      <alignment horizontal="right" vertical="center" indent="1"/>
    </xf>
    <xf numFmtId="9" fontId="5" fillId="0" borderId="13" xfId="7" applyNumberFormat="1" applyBorder="1"/>
    <xf numFmtId="3" fontId="0" fillId="13" borderId="25" xfId="0" applyNumberFormat="1" applyFill="1" applyBorder="1" applyAlignment="1">
      <alignment horizontal="right" vertical="center" indent="1"/>
    </xf>
    <xf numFmtId="10" fontId="0" fillId="13" borderId="6" xfId="1" applyNumberFormat="1" applyFont="1" applyFill="1" applyBorder="1"/>
    <xf numFmtId="166" fontId="0" fillId="13" borderId="7" xfId="1" applyNumberFormat="1" applyFont="1" applyFill="1" applyBorder="1" applyAlignment="1">
      <alignment horizontal="right" vertical="center" indent="1"/>
    </xf>
    <xf numFmtId="3" fontId="0" fillId="13" borderId="6" xfId="0" applyNumberFormat="1" applyFill="1" applyBorder="1" applyAlignment="1">
      <alignment horizontal="right" vertical="center" indent="1"/>
    </xf>
    <xf numFmtId="10" fontId="0" fillId="13" borderId="7" xfId="1" applyNumberFormat="1" applyFont="1" applyFill="1" applyBorder="1" applyAlignment="1">
      <alignment horizontal="right" vertical="center" indent="1"/>
    </xf>
    <xf numFmtId="165" fontId="0" fillId="13" borderId="10" xfId="0" applyNumberFormat="1" applyFill="1" applyBorder="1" applyAlignment="1">
      <alignment horizontal="right" vertical="center" indent="1"/>
    </xf>
    <xf numFmtId="169" fontId="0" fillId="13" borderId="7" xfId="0" applyNumberFormat="1" applyFill="1" applyBorder="1" applyAlignment="1">
      <alignment horizontal="right" vertical="center" indent="1"/>
    </xf>
    <xf numFmtId="170" fontId="0" fillId="13" borderId="7" xfId="2" applyNumberFormat="1" applyFont="1" applyFill="1" applyBorder="1" applyAlignment="1">
      <alignment horizontal="right" vertical="center" indent="1"/>
    </xf>
    <xf numFmtId="0" fontId="32" fillId="0" borderId="0" xfId="7" applyFont="1"/>
    <xf numFmtId="170" fontId="5" fillId="13" borderId="13" xfId="7" applyNumberFormat="1" applyFill="1" applyBorder="1"/>
    <xf numFmtId="0" fontId="5" fillId="13" borderId="13" xfId="7" applyFill="1" applyBorder="1"/>
    <xf numFmtId="0" fontId="30" fillId="13" borderId="13" xfId="7" applyFont="1" applyFill="1" applyBorder="1"/>
    <xf numFmtId="170" fontId="5" fillId="0" borderId="13" xfId="7" applyNumberFormat="1" applyBorder="1"/>
    <xf numFmtId="9" fontId="5" fillId="0" borderId="13" xfId="1" applyFont="1" applyFill="1" applyBorder="1"/>
    <xf numFmtId="43" fontId="5" fillId="13" borderId="13" xfId="3" applyFont="1" applyFill="1" applyBorder="1"/>
    <xf numFmtId="14" fontId="0" fillId="0" borderId="13" xfId="0" applyNumberFormat="1" applyBorder="1"/>
    <xf numFmtId="166" fontId="5" fillId="0" borderId="13" xfId="1" applyNumberFormat="1" applyFont="1" applyBorder="1"/>
    <xf numFmtId="170" fontId="5" fillId="0" borderId="0" xfId="1" applyNumberFormat="1" applyFont="1" applyBorder="1"/>
    <xf numFmtId="0" fontId="30" fillId="0" borderId="13" xfId="7" applyFont="1" applyBorder="1" applyAlignment="1">
      <alignment horizontal="center" vertical="center" wrapText="1"/>
    </xf>
    <xf numFmtId="0" fontId="30" fillId="13" borderId="13" xfId="7" applyFont="1" applyFill="1" applyBorder="1" applyAlignment="1">
      <alignment horizontal="center" vertical="center" wrapText="1"/>
    </xf>
    <xf numFmtId="0" fontId="30" fillId="13" borderId="0" xfId="7" applyFont="1" applyFill="1"/>
    <xf numFmtId="171" fontId="30" fillId="13" borderId="0" xfId="7" applyNumberFormat="1" applyFont="1" applyFill="1"/>
    <xf numFmtId="9" fontId="30" fillId="13" borderId="0" xfId="7" applyNumberFormat="1" applyFont="1" applyFill="1"/>
    <xf numFmtId="169" fontId="0" fillId="0" borderId="0" xfId="0" applyNumberFormat="1"/>
    <xf numFmtId="10" fontId="0" fillId="0" borderId="0" xfId="0" applyNumberFormat="1"/>
    <xf numFmtId="165" fontId="0" fillId="0" borderId="0" xfId="0" applyNumberFormat="1" applyAlignment="1">
      <alignment horizontal="left" indent="1"/>
    </xf>
    <xf numFmtId="43" fontId="7" fillId="0" borderId="0" xfId="3" applyFont="1" applyAlignment="1">
      <alignment horizontal="left" indent="1"/>
    </xf>
    <xf numFmtId="168" fontId="0" fillId="0" borderId="0" xfId="0" applyNumberFormat="1"/>
    <xf numFmtId="0" fontId="0" fillId="0" borderId="13" xfId="0" applyBorder="1" applyAlignment="1">
      <alignment horizontal="center" vertical="center"/>
    </xf>
    <xf numFmtId="170" fontId="0" fillId="0" borderId="13" xfId="0" applyNumberFormat="1" applyBorder="1"/>
    <xf numFmtId="43" fontId="7" fillId="0" borderId="7" xfId="3" applyFont="1" applyBorder="1"/>
    <xf numFmtId="165" fontId="0" fillId="0" borderId="13" xfId="3" applyNumberFormat="1" applyFont="1" applyBorder="1" applyAlignment="1">
      <alignment horizontal="right" vertical="center" indent="1"/>
    </xf>
    <xf numFmtId="43" fontId="0" fillId="0" borderId="13" xfId="3" applyFont="1" applyBorder="1" applyAlignment="1">
      <alignment horizontal="right" vertical="center" indent="1"/>
    </xf>
    <xf numFmtId="170" fontId="7" fillId="0" borderId="0" xfId="3" applyNumberFormat="1" applyFont="1" applyAlignment="1">
      <alignment horizontal="left" indent="1"/>
    </xf>
    <xf numFmtId="0" fontId="0" fillId="7" borderId="13" xfId="0" applyFill="1" applyBorder="1" applyAlignment="1">
      <alignment horizontal="center" vertical="center"/>
    </xf>
    <xf numFmtId="165" fontId="0" fillId="0" borderId="13" xfId="0" applyNumberFormat="1" applyBorder="1" applyAlignment="1">
      <alignment horizontal="right" indent="1"/>
    </xf>
    <xf numFmtId="170" fontId="0" fillId="0" borderId="13" xfId="3" applyNumberFormat="1" applyFont="1" applyBorder="1" applyAlignment="1">
      <alignment horizontal="right" vertical="center" indent="1"/>
    </xf>
    <xf numFmtId="168" fontId="0" fillId="0" borderId="13" xfId="2" applyNumberFormat="1" applyFont="1" applyBorder="1"/>
    <xf numFmtId="165" fontId="0" fillId="0" borderId="13" xfId="0" applyNumberFormat="1" applyBorder="1"/>
    <xf numFmtId="9" fontId="0" fillId="0" borderId="13" xfId="1" applyFont="1" applyBorder="1" applyAlignment="1">
      <alignment horizontal="center"/>
    </xf>
    <xf numFmtId="9" fontId="0" fillId="0" borderId="13" xfId="1" applyFont="1" applyFill="1" applyBorder="1" applyAlignment="1">
      <alignment horizontal="center"/>
    </xf>
    <xf numFmtId="0" fontId="0" fillId="0" borderId="13" xfId="0" applyBorder="1" applyAlignment="1">
      <alignment horizontal="left" indent="1"/>
    </xf>
    <xf numFmtId="170" fontId="7" fillId="0" borderId="0" xfId="3" applyNumberFormat="1" applyFont="1" applyFill="1" applyAlignment="1">
      <alignment horizontal="left" indent="1"/>
    </xf>
    <xf numFmtId="43" fontId="7" fillId="0" borderId="0" xfId="3" applyFont="1" applyFill="1" applyAlignment="1">
      <alignment horizontal="left" indent="1"/>
    </xf>
    <xf numFmtId="0" fontId="7" fillId="8" borderId="0" xfId="0" applyFont="1" applyFill="1" applyAlignment="1">
      <alignment vertical="center"/>
    </xf>
    <xf numFmtId="170" fontId="0" fillId="6" borderId="7" xfId="2" applyNumberFormat="1" applyFont="1" applyFill="1" applyBorder="1" applyAlignment="1">
      <alignment horizontal="right" vertical="center" indent="1"/>
    </xf>
    <xf numFmtId="170" fontId="2" fillId="13" borderId="13" xfId="1" applyNumberFormat="1" applyFont="1" applyFill="1" applyBorder="1"/>
    <xf numFmtId="166" fontId="2" fillId="13" borderId="13" xfId="1" applyNumberFormat="1" applyFont="1" applyFill="1" applyBorder="1"/>
    <xf numFmtId="171" fontId="2" fillId="13" borderId="13" xfId="1" applyNumberFormat="1" applyFont="1" applyFill="1" applyBorder="1"/>
    <xf numFmtId="170" fontId="4" fillId="0" borderId="13" xfId="7" applyNumberFormat="1" applyFont="1" applyBorder="1"/>
    <xf numFmtId="177" fontId="30" fillId="13" borderId="0" xfId="7" applyNumberFormat="1" applyFont="1" applyFill="1"/>
    <xf numFmtId="0" fontId="30" fillId="14" borderId="0" xfId="7" applyFont="1" applyFill="1"/>
    <xf numFmtId="0" fontId="5" fillId="14" borderId="0" xfId="7" applyFill="1"/>
    <xf numFmtId="10" fontId="0" fillId="14" borderId="13" xfId="1" applyNumberFormat="1" applyFont="1" applyFill="1" applyBorder="1"/>
    <xf numFmtId="0" fontId="2" fillId="14" borderId="0" xfId="7" applyFont="1" applyFill="1"/>
    <xf numFmtId="0" fontId="1" fillId="14" borderId="0" xfId="7" applyFont="1" applyFill="1"/>
    <xf numFmtId="0" fontId="0" fillId="14" borderId="19" xfId="0" applyFill="1" applyBorder="1" applyAlignment="1">
      <alignment horizontal="left" indent="1"/>
    </xf>
    <xf numFmtId="0" fontId="3" fillId="14" borderId="0" xfId="7" applyFont="1" applyFill="1"/>
    <xf numFmtId="176" fontId="5" fillId="14" borderId="0" xfId="2" applyNumberFormat="1" applyFont="1" applyFill="1"/>
    <xf numFmtId="0" fontId="3" fillId="14" borderId="0" xfId="7" quotePrefix="1" applyFont="1" applyFill="1"/>
    <xf numFmtId="3" fontId="0" fillId="3" borderId="25" xfId="0" applyNumberFormat="1" applyFill="1" applyBorder="1" applyAlignment="1" applyProtection="1">
      <alignment horizontal="right" vertical="center" indent="1"/>
      <protection locked="0"/>
    </xf>
    <xf numFmtId="10" fontId="0" fillId="3" borderId="6" xfId="1" applyNumberFormat="1" applyFont="1" applyFill="1" applyBorder="1" applyProtection="1">
      <protection locked="0"/>
    </xf>
    <xf numFmtId="166" fontId="0" fillId="3" borderId="7" xfId="1" applyNumberFormat="1" applyFont="1" applyFill="1" applyBorder="1" applyAlignment="1" applyProtection="1">
      <alignment horizontal="right" vertical="center" indent="1"/>
      <protection locked="0"/>
    </xf>
    <xf numFmtId="3" fontId="0" fillId="3" borderId="6" xfId="0" applyNumberFormat="1" applyFill="1" applyBorder="1" applyAlignment="1" applyProtection="1">
      <alignment horizontal="right" vertical="center" indent="1"/>
      <protection locked="0"/>
    </xf>
    <xf numFmtId="10" fontId="0" fillId="3" borderId="7" xfId="1" applyNumberFormat="1" applyFont="1" applyFill="1" applyBorder="1" applyAlignment="1" applyProtection="1">
      <alignment horizontal="right" vertical="center" indent="1"/>
      <protection locked="0"/>
    </xf>
    <xf numFmtId="165" fontId="0" fillId="3" borderId="10" xfId="0" applyNumberFormat="1" applyFill="1" applyBorder="1" applyAlignment="1" applyProtection="1">
      <alignment horizontal="right" vertical="center" indent="1"/>
      <protection locked="0"/>
    </xf>
    <xf numFmtId="175" fontId="0" fillId="3" borderId="7" xfId="0" applyNumberFormat="1" applyFill="1" applyBorder="1" applyAlignment="1" applyProtection="1">
      <alignment horizontal="right" vertical="center" indent="1"/>
      <protection locked="0"/>
    </xf>
    <xf numFmtId="170" fontId="0" fillId="3" borderId="7" xfId="2" applyNumberFormat="1" applyFont="1" applyFill="1" applyBorder="1" applyAlignment="1" applyProtection="1">
      <alignment horizontal="right" vertical="center" indent="1"/>
      <protection locked="0"/>
    </xf>
    <xf numFmtId="0" fontId="17" fillId="0" borderId="0" xfId="5"/>
    <xf numFmtId="14" fontId="17" fillId="0" borderId="0" xfId="5" applyNumberFormat="1"/>
    <xf numFmtId="4" fontId="17" fillId="0" borderId="0" xfId="5" applyNumberFormat="1"/>
    <xf numFmtId="0" fontId="18" fillId="11" borderId="0" xfId="5" applyFont="1" applyFill="1" applyAlignment="1">
      <alignment vertical="center"/>
    </xf>
    <xf numFmtId="0" fontId="19" fillId="11" borderId="0" xfId="5" applyFont="1" applyFill="1" applyAlignment="1">
      <alignment horizontal="left" vertical="center" indent="2"/>
    </xf>
    <xf numFmtId="0" fontId="20" fillId="11" borderId="0" xfId="5" applyFont="1" applyFill="1" applyAlignment="1">
      <alignment horizontal="left" vertical="center" indent="2"/>
    </xf>
    <xf numFmtId="4" fontId="21" fillId="0" borderId="0" xfId="5" applyNumberFormat="1" applyFont="1" applyAlignment="1">
      <alignment horizontal="left"/>
    </xf>
    <xf numFmtId="0" fontId="21" fillId="0" borderId="0" xfId="5" applyFont="1" applyAlignment="1">
      <alignment horizontal="left"/>
    </xf>
    <xf numFmtId="14" fontId="21" fillId="0" borderId="0" xfId="5" applyNumberFormat="1" applyFont="1" applyAlignment="1">
      <alignment horizontal="left"/>
    </xf>
    <xf numFmtId="0" fontId="22" fillId="12" borderId="0" xfId="5" applyFont="1" applyFill="1" applyAlignment="1">
      <alignment horizontal="left"/>
    </xf>
    <xf numFmtId="14" fontId="23" fillId="12" borderId="0" xfId="5" applyNumberFormat="1" applyFont="1" applyFill="1" applyAlignment="1">
      <alignment horizontal="left"/>
    </xf>
    <xf numFmtId="14" fontId="17" fillId="12" borderId="0" xfId="5" applyNumberFormat="1" applyFill="1"/>
    <xf numFmtId="0" fontId="17" fillId="12" borderId="0" xfId="5" applyFill="1"/>
    <xf numFmtId="0" fontId="23" fillId="12" borderId="0" xfId="5" applyFont="1" applyFill="1"/>
    <xf numFmtId="4" fontId="23" fillId="12" borderId="0" xfId="5" applyNumberFormat="1" applyFont="1" applyFill="1"/>
    <xf numFmtId="0" fontId="22" fillId="11" borderId="0" xfId="5" applyFont="1" applyFill="1" applyAlignment="1">
      <alignment horizontal="left"/>
    </xf>
    <xf numFmtId="14" fontId="23" fillId="11" borderId="0" xfId="5" applyNumberFormat="1" applyFont="1" applyFill="1" applyAlignment="1">
      <alignment horizontal="left"/>
    </xf>
    <xf numFmtId="14" fontId="17" fillId="11" borderId="0" xfId="5" applyNumberFormat="1" applyFill="1"/>
    <xf numFmtId="4" fontId="17" fillId="11" borderId="0" xfId="5" applyNumberFormat="1" applyFill="1"/>
    <xf numFmtId="0" fontId="17" fillId="11" borderId="0" xfId="5" applyFill="1"/>
    <xf numFmtId="0" fontId="23" fillId="11" borderId="0" xfId="5" applyFont="1" applyFill="1"/>
    <xf numFmtId="4" fontId="23" fillId="11" borderId="0" xfId="5" applyNumberFormat="1" applyFont="1" applyFill="1"/>
    <xf numFmtId="0" fontId="22" fillId="11" borderId="0" xfId="5" applyFont="1" applyFill="1" applyAlignment="1">
      <alignment horizontal="right"/>
    </xf>
    <xf numFmtId="0" fontId="24" fillId="0" borderId="31" xfId="5" applyFont="1" applyBorder="1"/>
    <xf numFmtId="14" fontId="23" fillId="0" borderId="31" xfId="5" applyNumberFormat="1" applyFont="1" applyBorder="1" applyAlignment="1">
      <alignment horizontal="left"/>
    </xf>
    <xf numFmtId="4" fontId="23" fillId="0" borderId="31" xfId="5" applyNumberFormat="1" applyFont="1" applyBorder="1" applyAlignment="1">
      <alignment horizontal="left"/>
    </xf>
    <xf numFmtId="0" fontId="31" fillId="0" borderId="0" xfId="5" applyFont="1"/>
    <xf numFmtId="0" fontId="23" fillId="0" borderId="0" xfId="5" applyFont="1"/>
    <xf numFmtId="4" fontId="23" fillId="0" borderId="0" xfId="5" applyNumberFormat="1" applyFont="1"/>
    <xf numFmtId="0" fontId="24" fillId="0" borderId="33" xfId="5" applyFont="1" applyBorder="1"/>
    <xf numFmtId="14" fontId="23" fillId="0" borderId="33" xfId="5" applyNumberFormat="1" applyFont="1" applyBorder="1" applyAlignment="1">
      <alignment horizontal="left"/>
    </xf>
    <xf numFmtId="4" fontId="23" fillId="0" borderId="33" xfId="5" applyNumberFormat="1" applyFont="1" applyBorder="1" applyAlignment="1">
      <alignment horizontal="left"/>
    </xf>
    <xf numFmtId="0" fontId="25" fillId="0" borderId="0" xfId="5" applyFont="1"/>
    <xf numFmtId="0" fontId="24" fillId="0" borderId="33" xfId="5" applyFont="1" applyBorder="1" applyAlignment="1">
      <alignment vertical="top"/>
    </xf>
    <xf numFmtId="0" fontId="24" fillId="0" borderId="0" xfId="5" applyFont="1" applyAlignment="1">
      <alignment vertical="top"/>
    </xf>
    <xf numFmtId="14" fontId="23" fillId="0" borderId="0" xfId="5" applyNumberFormat="1" applyFont="1" applyAlignment="1">
      <alignment horizontal="left"/>
    </xf>
    <xf numFmtId="4" fontId="23" fillId="0" borderId="0" xfId="5" applyNumberFormat="1" applyFont="1" applyAlignment="1">
      <alignment horizontal="left"/>
    </xf>
    <xf numFmtId="14" fontId="23" fillId="0" borderId="0" xfId="5" applyNumberFormat="1" applyFont="1"/>
    <xf numFmtId="0" fontId="22" fillId="12" borderId="0" xfId="5" applyFont="1" applyFill="1"/>
    <xf numFmtId="4" fontId="17" fillId="12" borderId="0" xfId="5" applyNumberFormat="1" applyFill="1"/>
    <xf numFmtId="0" fontId="24" fillId="0" borderId="0" xfId="5" applyFont="1"/>
    <xf numFmtId="170" fontId="23" fillId="0" borderId="0" xfId="5" applyNumberFormat="1" applyFont="1"/>
    <xf numFmtId="173" fontId="26" fillId="13" borderId="0" xfId="5" applyNumberFormat="1" applyFont="1" applyFill="1"/>
    <xf numFmtId="170" fontId="23" fillId="0" borderId="0" xfId="2" applyNumberFormat="1" applyFont="1" applyProtection="1"/>
    <xf numFmtId="0" fontId="27" fillId="12" borderId="0" xfId="5" applyFont="1" applyFill="1"/>
    <xf numFmtId="14" fontId="23" fillId="12" borderId="0" xfId="5" applyNumberFormat="1" applyFont="1" applyFill="1"/>
    <xf numFmtId="0" fontId="22" fillId="0" borderId="35" xfId="5" applyFont="1" applyBorder="1" applyAlignment="1">
      <alignment horizontal="center" wrapText="1"/>
    </xf>
    <xf numFmtId="14" fontId="22" fillId="0" borderId="36" xfId="5" applyNumberFormat="1" applyFont="1" applyBorder="1" applyAlignment="1">
      <alignment horizontal="center" wrapText="1"/>
    </xf>
    <xf numFmtId="4" fontId="22" fillId="0" borderId="36" xfId="5" applyNumberFormat="1" applyFont="1" applyBorder="1" applyAlignment="1">
      <alignment horizontal="center" wrapText="1"/>
    </xf>
    <xf numFmtId="0" fontId="22" fillId="0" borderId="36" xfId="5" applyFont="1" applyBorder="1" applyAlignment="1">
      <alignment horizontal="center" wrapText="1"/>
    </xf>
    <xf numFmtId="4" fontId="22" fillId="0" borderId="37" xfId="5" applyNumberFormat="1" applyFont="1" applyBorder="1" applyAlignment="1">
      <alignment horizontal="center" wrapText="1"/>
    </xf>
    <xf numFmtId="4" fontId="22" fillId="0" borderId="0" xfId="5" applyNumberFormat="1" applyFont="1" applyAlignment="1">
      <alignment horizontal="center" wrapText="1"/>
    </xf>
    <xf numFmtId="0" fontId="17" fillId="13" borderId="46" xfId="5" applyFill="1" applyBorder="1"/>
    <xf numFmtId="4" fontId="22" fillId="13" borderId="47" xfId="5" applyNumberFormat="1" applyFont="1" applyFill="1" applyBorder="1" applyAlignment="1">
      <alignment horizontal="center" wrapText="1"/>
    </xf>
    <xf numFmtId="4" fontId="22" fillId="13" borderId="48" xfId="5" applyNumberFormat="1" applyFont="1" applyFill="1" applyBorder="1" applyAlignment="1">
      <alignment horizontal="center" wrapText="1"/>
    </xf>
    <xf numFmtId="0" fontId="22" fillId="0" borderId="0" xfId="5" applyFont="1"/>
    <xf numFmtId="4" fontId="23" fillId="13" borderId="49" xfId="5" applyNumberFormat="1" applyFont="1" applyFill="1" applyBorder="1"/>
    <xf numFmtId="170" fontId="23" fillId="13" borderId="0" xfId="5" applyNumberFormat="1" applyFont="1" applyFill="1"/>
    <xf numFmtId="170" fontId="23" fillId="13" borderId="50" xfId="5" applyNumberFormat="1" applyFont="1" applyFill="1" applyBorder="1"/>
    <xf numFmtId="4" fontId="23" fillId="13" borderId="51" xfId="5" applyNumberFormat="1" applyFont="1" applyFill="1" applyBorder="1"/>
    <xf numFmtId="170" fontId="23" fillId="13" borderId="52" xfId="5" applyNumberFormat="1" applyFont="1" applyFill="1" applyBorder="1"/>
    <xf numFmtId="170" fontId="23" fillId="13" borderId="53" xfId="5" applyNumberFormat="1" applyFont="1" applyFill="1" applyBorder="1"/>
    <xf numFmtId="170" fontId="23" fillId="11" borderId="0" xfId="5" applyNumberFormat="1" applyFont="1" applyFill="1"/>
    <xf numFmtId="44" fontId="0" fillId="13" borderId="32" xfId="6" applyFont="1" applyFill="1" applyBorder="1" applyProtection="1"/>
    <xf numFmtId="10" fontId="0" fillId="13" borderId="34" xfId="6" applyNumberFormat="1" applyFont="1" applyFill="1" applyBorder="1" applyProtection="1"/>
    <xf numFmtId="0" fontId="0" fillId="0" borderId="54" xfId="0" applyBorder="1" applyAlignment="1">
      <alignment horizontal="left"/>
    </xf>
    <xf numFmtId="0" fontId="0" fillId="0" borderId="55" xfId="0" applyBorder="1" applyAlignment="1">
      <alignment horizontal="left"/>
    </xf>
    <xf numFmtId="0" fontId="0" fillId="0" borderId="56" xfId="0" applyBorder="1" applyAlignment="1">
      <alignment horizontal="left"/>
    </xf>
    <xf numFmtId="0" fontId="0" fillId="0" borderId="54" xfId="0" applyBorder="1" applyAlignment="1">
      <alignment horizontal="left" wrapText="1"/>
    </xf>
    <xf numFmtId="0" fontId="0" fillId="0" borderId="55" xfId="0" applyBorder="1" applyAlignment="1">
      <alignment horizontal="left" wrapText="1"/>
    </xf>
    <xf numFmtId="0" fontId="0" fillId="0" borderId="56" xfId="0" applyBorder="1" applyAlignment="1">
      <alignment horizontal="left" wrapText="1"/>
    </xf>
    <xf numFmtId="0" fontId="0" fillId="0" borderId="38" xfId="0" applyBorder="1" applyAlignment="1">
      <alignment horizontal="center" wrapText="1"/>
    </xf>
    <xf numFmtId="0" fontId="0" fillId="0" borderId="39" xfId="0" applyBorder="1" applyAlignment="1">
      <alignment horizontal="center" wrapText="1"/>
    </xf>
    <xf numFmtId="0" fontId="0" fillId="0" borderId="40" xfId="0" applyBorder="1" applyAlignment="1">
      <alignment horizontal="center" wrapText="1"/>
    </xf>
    <xf numFmtId="0" fontId="0" fillId="0" borderId="41" xfId="0" applyBorder="1" applyAlignment="1">
      <alignment horizontal="center" wrapText="1"/>
    </xf>
    <xf numFmtId="0" fontId="0" fillId="0" borderId="0" xfId="0" applyAlignment="1">
      <alignment horizontal="center" wrapText="1"/>
    </xf>
    <xf numFmtId="0" fontId="0" fillId="0" borderId="42" xfId="0" applyBorder="1" applyAlignment="1">
      <alignment horizontal="center" wrapText="1"/>
    </xf>
    <xf numFmtId="0" fontId="0" fillId="0" borderId="43" xfId="0" applyBorder="1" applyAlignment="1">
      <alignment horizontal="center" wrapText="1"/>
    </xf>
    <xf numFmtId="0" fontId="0" fillId="0" borderId="44" xfId="0" applyBorder="1" applyAlignment="1">
      <alignment horizontal="center" wrapText="1"/>
    </xf>
    <xf numFmtId="0" fontId="0" fillId="0" borderId="45" xfId="0" applyBorder="1" applyAlignment="1">
      <alignment horizontal="center" wrapText="1"/>
    </xf>
    <xf numFmtId="0" fontId="0" fillId="3" borderId="0" xfId="0" applyFill="1" applyAlignment="1">
      <alignment horizontal="center"/>
    </xf>
    <xf numFmtId="0" fontId="0" fillId="0" borderId="23" xfId="0" applyBorder="1" applyAlignment="1">
      <alignment horizontal="center"/>
    </xf>
    <xf numFmtId="0" fontId="0" fillId="0" borderId="24" xfId="0" applyBorder="1" applyAlignment="1">
      <alignment horizontal="center"/>
    </xf>
    <xf numFmtId="0" fontId="14" fillId="0" borderId="0" xfId="0" applyFont="1" applyAlignment="1">
      <alignment horizontal="center"/>
    </xf>
    <xf numFmtId="0" fontId="0" fillId="0" borderId="54" xfId="0" applyBorder="1" applyAlignment="1">
      <alignment horizontal="left" vertical="center" wrapText="1"/>
    </xf>
    <xf numFmtId="0" fontId="0" fillId="0" borderId="55" xfId="0" applyBorder="1" applyAlignment="1">
      <alignment horizontal="left" vertical="center" wrapText="1"/>
    </xf>
    <xf numFmtId="0" fontId="0" fillId="0" borderId="56" xfId="0" applyBorder="1" applyAlignment="1">
      <alignment horizontal="left" vertical="center" wrapText="1"/>
    </xf>
    <xf numFmtId="0" fontId="7" fillId="8" borderId="0" xfId="0" applyFont="1" applyFill="1" applyAlignment="1">
      <alignment horizontal="left" vertical="center"/>
    </xf>
    <xf numFmtId="0" fontId="14" fillId="0" borderId="0" xfId="0" applyFont="1" applyAlignment="1">
      <alignment horizontal="left" vertical="top" wrapText="1"/>
    </xf>
    <xf numFmtId="0" fontId="7" fillId="2" borderId="0" xfId="0" applyFont="1" applyFill="1" applyAlignment="1">
      <alignment horizontal="left" vertical="center"/>
    </xf>
    <xf numFmtId="0" fontId="0" fillId="7" borderId="14" xfId="0" applyFill="1" applyBorder="1" applyAlignment="1">
      <alignment horizontal="left" vertical="center"/>
    </xf>
    <xf numFmtId="0" fontId="0" fillId="7" borderId="15" xfId="0" applyFill="1" applyBorder="1" applyAlignment="1">
      <alignment horizontal="left" vertical="center"/>
    </xf>
    <xf numFmtId="0" fontId="0" fillId="7" borderId="16" xfId="0" applyFill="1" applyBorder="1" applyAlignment="1">
      <alignment horizontal="left" vertical="center"/>
    </xf>
    <xf numFmtId="0" fontId="0" fillId="0" borderId="9" xfId="0" applyBorder="1" applyAlignment="1">
      <alignment horizontal="left" vertical="center" indent="1"/>
    </xf>
    <xf numFmtId="0" fontId="0" fillId="0" borderId="12" xfId="0" applyBorder="1" applyAlignment="1">
      <alignment horizontal="left" vertical="center" indent="1"/>
    </xf>
    <xf numFmtId="0" fontId="14" fillId="0" borderId="0" xfId="0" applyFont="1" applyAlignment="1">
      <alignment horizontal="left" vertical="center" wrapText="1"/>
    </xf>
    <xf numFmtId="0" fontId="14" fillId="0" borderId="20" xfId="0" applyFont="1" applyBorder="1" applyAlignment="1">
      <alignment horizontal="left" vertical="center" wrapText="1"/>
    </xf>
    <xf numFmtId="0" fontId="0" fillId="0" borderId="0" xfId="0" applyAlignment="1">
      <alignment horizontal="left" vertical="top" wrapText="1"/>
    </xf>
    <xf numFmtId="0" fontId="0" fillId="7" borderId="13" xfId="0" applyFill="1" applyBorder="1" applyAlignment="1">
      <alignment horizontal="center" vertical="center"/>
    </xf>
    <xf numFmtId="170" fontId="0" fillId="0" borderId="0" xfId="0" applyNumberFormat="1" applyAlignment="1">
      <alignment horizontal="center" vertical="center"/>
    </xf>
    <xf numFmtId="0" fontId="0" fillId="0" borderId="0" xfId="0" applyAlignment="1">
      <alignment horizontal="center" vertical="center"/>
    </xf>
    <xf numFmtId="0" fontId="0" fillId="7" borderId="9" xfId="0" applyFill="1" applyBorder="1" applyAlignment="1">
      <alignment horizontal="center" vertical="center"/>
    </xf>
    <xf numFmtId="0" fontId="0" fillId="7" borderId="12" xfId="0" applyFill="1" applyBorder="1" applyAlignment="1">
      <alignment horizontal="center" vertical="center"/>
    </xf>
    <xf numFmtId="0" fontId="7" fillId="8" borderId="0" xfId="0" applyFont="1" applyFill="1" applyAlignment="1">
      <alignment horizontal="left" vertical="center" indent="1"/>
    </xf>
    <xf numFmtId="0" fontId="7" fillId="13" borderId="0" xfId="0" applyFont="1" applyFill="1" applyAlignment="1">
      <alignment horizontal="left" vertical="center"/>
    </xf>
    <xf numFmtId="0" fontId="0" fillId="5" borderId="2" xfId="0" applyFill="1" applyBorder="1" applyAlignment="1">
      <alignment horizontal="center" vertical="center"/>
    </xf>
    <xf numFmtId="0" fontId="0" fillId="5" borderId="3" xfId="0" applyFill="1" applyBorder="1" applyAlignment="1">
      <alignment horizontal="center" vertical="center"/>
    </xf>
    <xf numFmtId="0" fontId="0" fillId="4" borderId="9" xfId="0" applyFill="1" applyBorder="1" applyAlignment="1">
      <alignment horizontal="center" vertical="center"/>
    </xf>
    <xf numFmtId="0" fontId="0" fillId="4" borderId="12" xfId="0" applyFill="1" applyBorder="1" applyAlignment="1">
      <alignment horizontal="center" vertical="center"/>
    </xf>
    <xf numFmtId="0" fontId="7" fillId="2" borderId="0" xfId="0" applyFont="1" applyFill="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9" xfId="0" applyBorder="1" applyAlignment="1">
      <alignment horizontal="center" vertical="center"/>
    </xf>
    <xf numFmtId="0" fontId="0" fillId="0" borderId="4" xfId="0" applyBorder="1" applyAlignment="1">
      <alignment horizontal="center" vertical="center"/>
    </xf>
  </cellXfs>
  <cellStyles count="8">
    <cellStyle name="Komma" xfId="3" builtinId="3"/>
    <cellStyle name="Link" xfId="4" builtinId="8"/>
    <cellStyle name="Prozent" xfId="1" builtinId="5"/>
    <cellStyle name="Standard" xfId="0" builtinId="0"/>
    <cellStyle name="Standard 2" xfId="5" xr:uid="{98C89E24-4A68-4844-A10C-0341AECBFA83}"/>
    <cellStyle name="Standard 3" xfId="7" xr:uid="{8313AE6F-BF4A-48FC-9262-9B6D140D3CC3}"/>
    <cellStyle name="Währung" xfId="2" builtinId="4"/>
    <cellStyle name="Währung 2" xfId="6" xr:uid="{B1BE1AB4-0AA6-470A-8595-5C21007128BD}"/>
  </cellStyles>
  <dxfs count="6">
    <dxf>
      <font>
        <color rgb="FFFF0000"/>
      </font>
    </dxf>
    <dxf>
      <font>
        <color rgb="FF9C0006"/>
      </font>
    </dxf>
    <dxf>
      <font>
        <color rgb="FFFF0000"/>
      </font>
    </dxf>
    <dxf>
      <font>
        <color rgb="FFFF0000"/>
      </font>
    </dxf>
    <dxf>
      <font>
        <color rgb="FFFF0000"/>
      </font>
    </dxf>
    <dxf>
      <border>
        <left style="thin">
          <color indexed="22"/>
        </left>
        <right style="thin">
          <color indexed="22"/>
        </right>
        <top style="thin">
          <color indexed="22"/>
        </top>
        <bottom style="thin">
          <color indexed="22"/>
        </bottom>
      </border>
    </dxf>
  </dxfs>
  <tableStyles count="0" defaultTableStyle="TableStyleMedium2" defaultPivotStyle="PivotStyleLight16"/>
  <colors>
    <mruColors>
      <color rgb="FFE2001A"/>
      <color rgb="FFB1C800"/>
      <color rgb="FF179C7D"/>
      <color rgb="FF1F82C0"/>
      <color rgb="FFF29400"/>
      <color rgb="FF009999"/>
      <color rgb="FFFFFC00"/>
      <color rgb="FF0118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theme" Target="theme/theme1.xml"/><Relationship Id="rId3" Type="http://schemas.openxmlformats.org/officeDocument/2006/relationships/chartsheet" Target="chartsheets/sheet1.xml"/><Relationship Id="rId7" Type="http://schemas.openxmlformats.org/officeDocument/2006/relationships/worksheet" Target="worksheets/sheet6.xml"/><Relationship Id="rId12" Type="http://schemas.openxmlformats.org/officeDocument/2006/relationships/worksheet" Target="worksheets/sheet1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worksheet" Target="worksheets/sheet10.xml"/><Relationship Id="rId5" Type="http://schemas.openxmlformats.org/officeDocument/2006/relationships/worksheet" Target="worksheets/sheet4.xml"/><Relationship Id="rId15" Type="http://schemas.openxmlformats.org/officeDocument/2006/relationships/sharedStrings" Target="sharedStrings.xml"/><Relationship Id="rId10" Type="http://schemas.openxmlformats.org/officeDocument/2006/relationships/worksheet" Target="worksheets/sheet9.xml"/><Relationship Id="rId4" Type="http://schemas.openxmlformats.org/officeDocument/2006/relationships/worksheet" Target="worksheets/sheet3.xml"/><Relationship Id="rId9" Type="http://schemas.openxmlformats.org/officeDocument/2006/relationships/worksheet" Target="worksheets/sheet8.xml"/><Relationship Id="rId14" Type="http://schemas.openxmlformats.org/officeDocument/2006/relationships/styles" Target="styles.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autoTitleDeleted val="1"/>
    <c:plotArea>
      <c:layout>
        <c:manualLayout>
          <c:layoutTarget val="inner"/>
          <c:xMode val="edge"/>
          <c:yMode val="edge"/>
          <c:x val="0.10269097758129071"/>
          <c:y val="4.0506329113924051E-2"/>
          <c:w val="0.88269108221937376"/>
          <c:h val="0.90581002691119306"/>
        </c:manualLayout>
      </c:layout>
      <c:barChart>
        <c:barDir val="col"/>
        <c:grouping val="clustered"/>
        <c:varyColors val="0"/>
        <c:ser>
          <c:idx val="0"/>
          <c:order val="0"/>
          <c:tx>
            <c:strRef>
              <c:f>Calculations!$P$4</c:f>
              <c:strCache>
                <c:ptCount val="1"/>
                <c:pt idx="0">
                  <c:v>Cumulative Cash flow</c:v>
                </c:pt>
              </c:strCache>
            </c:strRef>
          </c:tx>
          <c:invertIfNegative val="0"/>
          <c:cat>
            <c:numRef>
              <c:f>Calculations!$B$6:$B$36</c:f>
              <c:numCache>
                <c:formatCode>General</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cat>
          <c:val>
            <c:numRef>
              <c:f>Calculations!$P$6:$P$36</c:f>
              <c:numCache>
                <c:formatCode>#,##0.00\ [$€-407]</c:formatCode>
                <c:ptCount val="31"/>
                <c:pt idx="0">
                  <c:v>-1600</c:v>
                </c:pt>
                <c:pt idx="1">
                  <c:v>-1736.4735645264291</c:v>
                </c:pt>
                <c:pt idx="2">
                  <c:v>-1873.9691790528582</c:v>
                </c:pt>
                <c:pt idx="3">
                  <c:v>-2012.4984974292872</c:v>
                </c:pt>
                <c:pt idx="4">
                  <c:v>-2152.0734329441661</c:v>
                </c:pt>
                <c:pt idx="5">
                  <c:v>-2292.7061634340798</c:v>
                </c:pt>
                <c:pt idx="6">
                  <c:v>-2434.4091364958631</c:v>
                </c:pt>
                <c:pt idx="7">
                  <c:v>-2577.1950748031954</c:v>
                </c:pt>
                <c:pt idx="8">
                  <c:v>-2489.2534170033346</c:v>
                </c:pt>
                <c:pt idx="9">
                  <c:v>-2402.421016828263</c:v>
                </c:pt>
                <c:pt idx="10">
                  <c:v>-2316.7114551581344</c:v>
                </c:pt>
                <c:pt idx="11">
                  <c:v>-2232.138610303522</c:v>
                </c:pt>
                <c:pt idx="12">
                  <c:v>-2148.7166638765898</c:v>
                </c:pt>
                <c:pt idx="13">
                  <c:v>-2066.4601067799167</c:v>
                </c:pt>
                <c:pt idx="14">
                  <c:v>-1985.3837453153317</c:v>
                </c:pt>
                <c:pt idx="15">
                  <c:v>-1905.5027074151544</c:v>
                </c:pt>
                <c:pt idx="16">
                  <c:v>-1826.832448998292</c:v>
                </c:pt>
                <c:pt idx="17">
                  <c:v>-1749.3887604536867</c:v>
                </c:pt>
                <c:pt idx="18">
                  <c:v>-1673.1877732536618</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F-B804-F142-B55D-B899F80BA9BD}"/>
            </c:ext>
          </c:extLst>
        </c:ser>
        <c:dLbls>
          <c:showLegendKey val="0"/>
          <c:showVal val="0"/>
          <c:showCatName val="0"/>
          <c:showSerName val="0"/>
          <c:showPercent val="0"/>
          <c:showBubbleSize val="0"/>
        </c:dLbls>
        <c:gapWidth val="219"/>
        <c:overlap val="-27"/>
        <c:axId val="1778897823"/>
        <c:axId val="1779288367"/>
        <c:extLst>
          <c:ext xmlns:c15="http://schemas.microsoft.com/office/drawing/2012/chart" uri="{02D57815-91ED-43cb-92C2-25804820EDAC}">
            <c15:filteredBarSeries>
              <c15:ser>
                <c:idx val="1"/>
                <c:order val="1"/>
                <c:tx>
                  <c:strRef>
                    <c:extLst>
                      <c:ext uri="{02D57815-91ED-43cb-92C2-25804820EDAC}">
                        <c15:formulaRef>
                          <c15:sqref>Calculations!$B$4</c15:sqref>
                        </c15:formulaRef>
                      </c:ext>
                    </c:extLst>
                    <c:strCache>
                      <c:ptCount val="1"/>
                      <c:pt idx="0">
                        <c:v>Year</c:v>
                      </c:pt>
                    </c:strCache>
                  </c:strRef>
                </c:tx>
                <c:invertIfNegative val="0"/>
                <c:cat>
                  <c:numRef>
                    <c:extLst>
                      <c:ext uri="{02D57815-91ED-43cb-92C2-25804820EDAC}">
                        <c15:formulaRef>
                          <c15:sqref>Calculations!$B$6:$B$36</c15:sqref>
                        </c15:formulaRef>
                      </c:ext>
                    </c:extLst>
                    <c:numCache>
                      <c:formatCode>General</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cat>
                <c:val>
                  <c:numRef>
                    <c:extLst>
                      <c:ext uri="{02D57815-91ED-43cb-92C2-25804820EDAC}">
                        <c15:formulaRef>
                          <c15:sqref>Calculations!$B$6:$B$36</c15:sqref>
                        </c15:formulaRef>
                      </c:ext>
                    </c:extLst>
                    <c:numCache>
                      <c:formatCode>General</c:formatCode>
                      <c:ptCount val="3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numCache>
                  </c:numRef>
                </c:val>
                <c:extLst>
                  <c:ext xmlns:c16="http://schemas.microsoft.com/office/drawing/2014/chart" uri="{C3380CC4-5D6E-409C-BE32-E72D297353CC}">
                    <c16:uniqueId val="{0000001E-27E9-4118-A261-0DBD78DA4CFE}"/>
                  </c:ext>
                </c:extLst>
              </c15:ser>
            </c15:filteredBarSeries>
          </c:ext>
        </c:extLst>
      </c:barChart>
      <c:catAx>
        <c:axId val="177889782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MX"/>
                  <a:t>Years</a:t>
                </a:r>
              </a:p>
            </c:rich>
          </c:tx>
          <c:overlay val="0"/>
          <c:spPr>
            <a:noFill/>
            <a:ln>
              <a:noFill/>
            </a:ln>
            <a:effectLst/>
          </c:spPr>
        </c:title>
        <c:numFmt formatCode="General" sourceLinked="1"/>
        <c:majorTickMark val="none"/>
        <c:minorTickMark val="none"/>
        <c:tickLblPos val="nextTo"/>
        <c:spPr>
          <a:solidFill>
            <a:schemeClr val="bg1"/>
          </a:solid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779288367"/>
        <c:crosses val="autoZero"/>
        <c:auto val="1"/>
        <c:lblAlgn val="ctr"/>
        <c:lblOffset val="100"/>
        <c:tickLblSkip val="1"/>
        <c:noMultiLvlLbl val="0"/>
      </c:catAx>
      <c:valAx>
        <c:axId val="1779288367"/>
        <c:scaling>
          <c:orientation val="minMax"/>
        </c:scaling>
        <c:delete val="0"/>
        <c:axPos val="l"/>
        <c:majorGridlines>
          <c:spPr>
            <a:ln w="9525" cap="flat" cmpd="sng" algn="ctr">
              <a:solidFill>
                <a:schemeClr val="tx1">
                  <a:lumMod val="15000"/>
                  <a:lumOff val="85000"/>
                </a:schemeClr>
              </a:solidFill>
              <a:round/>
            </a:ln>
            <a:effectLst/>
          </c:spPr>
        </c:majorGridlines>
        <c:numFmt formatCode="#,##0\ [$€-407]"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de-DE"/>
          </a:p>
        </c:txPr>
        <c:crossAx val="1778897823"/>
        <c:crossesAt val="0"/>
        <c:crossBetween val="between"/>
      </c:valAx>
    </c:plotArea>
    <c:plotVisOnly val="1"/>
    <c:dispBlanksAs val="gap"/>
    <c:showDLblsOverMax val="0"/>
  </c:chart>
  <c:txPr>
    <a:bodyPr/>
    <a:lstStyle/>
    <a:p>
      <a:pPr>
        <a:defRPr/>
      </a:pPr>
      <a:endParaRPr lang="de-DE"/>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r>
              <a:rPr lang="en-US" sz="1400" b="1"/>
              <a:t>Sensitivity on LCOE</a:t>
            </a:r>
          </a:p>
        </c:rich>
      </c:tx>
      <c:layout>
        <c:manualLayout>
          <c:xMode val="edge"/>
          <c:yMode val="edge"/>
          <c:x val="0.38872824995893035"/>
          <c:y val="1.2326653558644086E-2"/>
        </c:manualLayout>
      </c:layout>
      <c:overlay val="0"/>
      <c:spPr>
        <a:noFill/>
        <a:ln>
          <a:noFill/>
        </a:ln>
        <a:effectLst/>
      </c:spPr>
    </c:title>
    <c:autoTitleDeleted val="0"/>
    <c:plotArea>
      <c:layout>
        <c:manualLayout>
          <c:layoutTarget val="inner"/>
          <c:xMode val="edge"/>
          <c:yMode val="edge"/>
          <c:x val="0.18286182524379238"/>
          <c:y val="9.648228063292795E-2"/>
          <c:w val="0.76121678749428401"/>
          <c:h val="0.76682329704931829"/>
        </c:manualLayout>
      </c:layout>
      <c:scatterChart>
        <c:scatterStyle val="lineMarker"/>
        <c:varyColors val="0"/>
        <c:ser>
          <c:idx val="0"/>
          <c:order val="0"/>
          <c:tx>
            <c:strRef>
              <c:f>SensitivityLCOE!$L$1</c:f>
              <c:strCache>
                <c:ptCount val="1"/>
                <c:pt idx="0">
                  <c:v>[A] Δ LCOE CAPEX  [ct€/kWh]</c:v>
                </c:pt>
              </c:strCache>
            </c:strRef>
          </c:tx>
          <c:spPr>
            <a:ln w="19050" cap="rnd">
              <a:solidFill>
                <a:schemeClr val="accent1"/>
              </a:solidFill>
              <a:round/>
            </a:ln>
            <a:effectLst/>
          </c:spPr>
          <c:marker>
            <c:symbol val="square"/>
            <c:size val="6"/>
            <c:spPr>
              <a:solidFill>
                <a:schemeClr val="accent1"/>
              </a:solidFill>
              <a:ln w="9525">
                <a:solidFill>
                  <a:srgbClr val="1F82C0"/>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SensitivityLCOE!$L$2:$L$12</c:f>
              <c:numCache>
                <c:formatCode>_-* #,##0.00\ [$€-407]_-;\-* #,##0.00\ [$€-407]_-;_-* "-"??\ [$€-407]_-;_-@_-</c:formatCode>
                <c:ptCount val="11"/>
                <c:pt idx="0">
                  <c:v>-9.4180844304186773E-2</c:v>
                </c:pt>
                <c:pt idx="1">
                  <c:v>-7.5344675443349413E-2</c:v>
                </c:pt>
                <c:pt idx="2">
                  <c:v>-5.6508506582512066E-2</c:v>
                </c:pt>
                <c:pt idx="3">
                  <c:v>-3.7672337721674706E-2</c:v>
                </c:pt>
                <c:pt idx="4">
                  <c:v>-1.8836168860837346E-2</c:v>
                </c:pt>
                <c:pt idx="5">
                  <c:v>0</c:v>
                </c:pt>
                <c:pt idx="6">
                  <c:v>1.8836168860837374E-2</c:v>
                </c:pt>
                <c:pt idx="7">
                  <c:v>3.767233772167472E-2</c:v>
                </c:pt>
                <c:pt idx="8">
                  <c:v>5.6508506582512052E-2</c:v>
                </c:pt>
                <c:pt idx="9">
                  <c:v>7.5344675443349413E-2</c:v>
                </c:pt>
                <c:pt idx="10">
                  <c:v>9.41808443041868E-2</c:v>
                </c:pt>
              </c:numCache>
            </c:numRef>
          </c:yVal>
          <c:smooth val="0"/>
          <c:extLst>
            <c:ext xmlns:c16="http://schemas.microsoft.com/office/drawing/2014/chart" uri="{C3380CC4-5D6E-409C-BE32-E72D297353CC}">
              <c16:uniqueId val="{00000002-25D4-4E9F-ADEB-56D20058EF71}"/>
            </c:ext>
          </c:extLst>
        </c:ser>
        <c:ser>
          <c:idx val="3"/>
          <c:order val="1"/>
          <c:tx>
            <c:strRef>
              <c:f>SensitivityLCOE!$M$1</c:f>
              <c:strCache>
                <c:ptCount val="1"/>
                <c:pt idx="0">
                  <c:v>[B] Δ LCOE Energy Sales Price  [ct€/kWh]</c:v>
                </c:pt>
              </c:strCache>
            </c:strRef>
          </c:tx>
          <c:spPr>
            <a:ln w="19050" cap="rnd">
              <a:solidFill>
                <a:srgbClr val="E2001A"/>
              </a:solidFill>
              <a:round/>
            </a:ln>
            <a:effectLst/>
          </c:spPr>
          <c:marker>
            <c:symbol val="triangle"/>
            <c:size val="6"/>
            <c:spPr>
              <a:solidFill>
                <a:srgbClr val="E2001A"/>
              </a:solidFill>
              <a:ln w="9525">
                <a:solidFill>
                  <a:srgbClr val="E2001A"/>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SensitivityLCOE!$M$2:$M$12</c:f>
              <c:numCache>
                <c:formatCode>_-* #,##0.00\ [$€-407]_-;\-* #,##0.00\ [$€-407]_-;_-* "-"??\ [$€-407]_-;_-@_-</c:formatCode>
                <c:ptCount val="11"/>
                <c:pt idx="0">
                  <c:v>4.9999999999999989E-2</c:v>
                </c:pt>
                <c:pt idx="1">
                  <c:v>4.0000000000000008E-2</c:v>
                </c:pt>
                <c:pt idx="2">
                  <c:v>3.0000000000000027E-2</c:v>
                </c:pt>
                <c:pt idx="3">
                  <c:v>1.999999999999999E-2</c:v>
                </c:pt>
                <c:pt idx="4">
                  <c:v>1.0000000000000009E-2</c:v>
                </c:pt>
                <c:pt idx="5">
                  <c:v>0</c:v>
                </c:pt>
                <c:pt idx="6">
                  <c:v>-9.999999999999995E-3</c:v>
                </c:pt>
                <c:pt idx="7">
                  <c:v>-1.9999999999999976E-2</c:v>
                </c:pt>
                <c:pt idx="8">
                  <c:v>-2.9999999999999992E-2</c:v>
                </c:pt>
                <c:pt idx="9">
                  <c:v>-3.9999999999999966E-2</c:v>
                </c:pt>
                <c:pt idx="10">
                  <c:v>-0.05</c:v>
                </c:pt>
              </c:numCache>
            </c:numRef>
          </c:yVal>
          <c:smooth val="0"/>
          <c:extLst>
            <c:ext xmlns:c16="http://schemas.microsoft.com/office/drawing/2014/chart" uri="{C3380CC4-5D6E-409C-BE32-E72D297353CC}">
              <c16:uniqueId val="{00000004-25D4-4E9F-ADEB-56D20058EF71}"/>
            </c:ext>
          </c:extLst>
        </c:ser>
        <c:ser>
          <c:idx val="1"/>
          <c:order val="2"/>
          <c:tx>
            <c:strRef>
              <c:f>SensitivityLCOE!$N$1</c:f>
              <c:strCache>
                <c:ptCount val="1"/>
                <c:pt idx="0">
                  <c:v>[C] Δ LCOE Interest rate  [ct€/kWh]</c:v>
                </c:pt>
              </c:strCache>
            </c:strRef>
          </c:tx>
          <c:spPr>
            <a:ln w="19050" cap="rnd">
              <a:solidFill>
                <a:schemeClr val="accent2"/>
              </a:solidFill>
              <a:round/>
            </a:ln>
            <a:effectLst/>
          </c:spPr>
          <c:marker>
            <c:symbol val="circle"/>
            <c:size val="6"/>
            <c:spPr>
              <a:solidFill>
                <a:schemeClr val="accent2"/>
              </a:solidFill>
              <a:ln w="9525">
                <a:solidFill>
                  <a:srgbClr val="F29400"/>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SensitivityLCOE!$N$2:$N$12</c:f>
              <c:numCache>
                <c:formatCode>_-* #,##0.00\ [$€-407]_-;\-* #,##0.00\ [$€-407]_-;_-* "-"??\ [$€-407]_-;_-@_-</c:formatCode>
                <c:ptCount val="11"/>
                <c:pt idx="0">
                  <c:v>-3.823865503049096E-2</c:v>
                </c:pt>
                <c:pt idx="1">
                  <c:v>-3.0995769567957528E-2</c:v>
                </c:pt>
                <c:pt idx="2">
                  <c:v>-2.3544490114818559E-2</c:v>
                </c:pt>
                <c:pt idx="3">
                  <c:v>-1.5890645030430264E-2</c:v>
                </c:pt>
                <c:pt idx="4">
                  <c:v>-8.0403595257887706E-3</c:v>
                </c:pt>
                <c:pt idx="5">
                  <c:v>0</c:v>
                </c:pt>
                <c:pt idx="6">
                  <c:v>8.2238799375566468E-3</c:v>
                </c:pt>
                <c:pt idx="7">
                  <c:v>1.6624591124209998E-2</c:v>
                </c:pt>
                <c:pt idx="8">
                  <c:v>2.5195357654072659E-2</c:v>
                </c:pt>
                <c:pt idx="9">
                  <c:v>3.3929362424720083E-2</c:v>
                </c:pt>
                <c:pt idx="10">
                  <c:v>4.2819789110581541E-2</c:v>
                </c:pt>
              </c:numCache>
            </c:numRef>
          </c:yVal>
          <c:smooth val="0"/>
          <c:extLst>
            <c:ext xmlns:c16="http://schemas.microsoft.com/office/drawing/2014/chart" uri="{C3380CC4-5D6E-409C-BE32-E72D297353CC}">
              <c16:uniqueId val="{00000006-25D4-4E9F-ADEB-56D20058EF71}"/>
            </c:ext>
          </c:extLst>
        </c:ser>
        <c:ser>
          <c:idx val="2"/>
          <c:order val="3"/>
          <c:tx>
            <c:strRef>
              <c:f>SensitivityLCOE!$O$1</c:f>
              <c:strCache>
                <c:ptCount val="1"/>
                <c:pt idx="0">
                  <c:v>[D] Δ LCOE Specific yield  [ct€/kWh]</c:v>
                </c:pt>
              </c:strCache>
            </c:strRef>
          </c:tx>
          <c:spPr>
            <a:ln w="19050" cap="rnd">
              <a:solidFill>
                <a:srgbClr val="179C7D"/>
              </a:solidFill>
              <a:round/>
            </a:ln>
            <a:effectLst/>
          </c:spPr>
          <c:marker>
            <c:symbol val="diamond"/>
            <c:size val="6"/>
            <c:spPr>
              <a:solidFill>
                <a:srgbClr val="009999"/>
              </a:solidFill>
              <a:ln w="9525">
                <a:solidFill>
                  <a:srgbClr val="179C7D"/>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SensitivityLCOE!$O$2:$O$12</c:f>
              <c:numCache>
                <c:formatCode>_-* #,##0.00\ [$€-407]_-;\-* #,##0.00\ [$€-407]_-;_-* "-"??\ [$€-407]_-;_-@_-</c:formatCode>
                <c:ptCount val="11"/>
                <c:pt idx="0">
                  <c:v>0.18836168860837355</c:v>
                </c:pt>
                <c:pt idx="1">
                  <c:v>0.12557445907224904</c:v>
                </c:pt>
                <c:pt idx="2">
                  <c:v>8.0726437975017301E-2</c:v>
                </c:pt>
                <c:pt idx="3">
                  <c:v>4.7090422152093414E-2</c:v>
                </c:pt>
                <c:pt idx="4">
                  <c:v>2.0929076512041539E-2</c:v>
                </c:pt>
                <c:pt idx="5">
                  <c:v>0</c:v>
                </c:pt>
                <c:pt idx="6">
                  <c:v>-1.7123789873488504E-2</c:v>
                </c:pt>
                <c:pt idx="7">
                  <c:v>-3.139361476806226E-2</c:v>
                </c:pt>
                <c:pt idx="8">
                  <c:v>-4.3468081986547738E-2</c:v>
                </c:pt>
                <c:pt idx="9">
                  <c:v>-5.3817625316678136E-2</c:v>
                </c:pt>
                <c:pt idx="10">
                  <c:v>-6.2787229536124506E-2</c:v>
                </c:pt>
              </c:numCache>
            </c:numRef>
          </c:yVal>
          <c:smooth val="0"/>
          <c:extLst>
            <c:ext xmlns:c16="http://schemas.microsoft.com/office/drawing/2014/chart" uri="{C3380CC4-5D6E-409C-BE32-E72D297353CC}">
              <c16:uniqueId val="{00000008-25D4-4E9F-ADEB-56D20058EF71}"/>
            </c:ext>
          </c:extLst>
        </c:ser>
        <c:ser>
          <c:idx val="4"/>
          <c:order val="4"/>
          <c:tx>
            <c:strRef>
              <c:f>SensitivityLCOE!$P$1</c:f>
              <c:strCache>
                <c:ptCount val="1"/>
                <c:pt idx="0">
                  <c:v>[E] Δ LCOE System Lifetime   [ct€/kWh]</c:v>
                </c:pt>
              </c:strCache>
            </c:strRef>
          </c:tx>
          <c:spPr>
            <a:ln w="19050" cap="rnd">
              <a:solidFill>
                <a:srgbClr val="B1C800"/>
              </a:solidFill>
              <a:round/>
            </a:ln>
            <a:effectLst/>
          </c:spPr>
          <c:marker>
            <c:symbol val="dash"/>
            <c:size val="8"/>
            <c:spPr>
              <a:solidFill>
                <a:srgbClr val="B1C800"/>
              </a:solidFill>
              <a:ln w="9525">
                <a:solidFill>
                  <a:srgbClr val="B1C800"/>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SensitivityLCOE!$P$2:$P$12</c:f>
              <c:numCache>
                <c:formatCode>_-* #,##0.00\ [$€-407]_-;\-* #,##0.00\ [$€-407]_-;_-* "-"??\ [$€-407]_-;_-@_-</c:formatCode>
                <c:ptCount val="11"/>
                <c:pt idx="0">
                  <c:v>8.6693004411041358E-2</c:v>
                </c:pt>
                <c:pt idx="1">
                  <c:v>6.8701822532247325E-2</c:v>
                </c:pt>
                <c:pt idx="2">
                  <c:v>4.2135426631889211E-2</c:v>
                </c:pt>
                <c:pt idx="3">
                  <c:v>2.3628525184530041E-2</c:v>
                </c:pt>
                <c:pt idx="4">
                  <c:v>1.0145807136670321E-2</c:v>
                </c:pt>
                <c:pt idx="5">
                  <c:v>0</c:v>
                </c:pt>
                <c:pt idx="6">
                  <c:v>-4.1547978937578611E-3</c:v>
                </c:pt>
                <c:pt idx="7">
                  <c:v>-1.1072833783333597E-2</c:v>
                </c:pt>
                <c:pt idx="8">
                  <c:v>-1.6548218188896222E-2</c:v>
                </c:pt>
                <c:pt idx="9">
                  <c:v>-2.0937856835127111E-2</c:v>
                </c:pt>
                <c:pt idx="10">
                  <c:v>-2.4493112395304606E-2</c:v>
                </c:pt>
              </c:numCache>
            </c:numRef>
          </c:yVal>
          <c:smooth val="0"/>
          <c:extLst>
            <c:ext xmlns:c16="http://schemas.microsoft.com/office/drawing/2014/chart" uri="{C3380CC4-5D6E-409C-BE32-E72D297353CC}">
              <c16:uniqueId val="{0000000A-25D4-4E9F-ADEB-56D20058EF71}"/>
            </c:ext>
          </c:extLst>
        </c:ser>
        <c:dLbls>
          <c:showLegendKey val="0"/>
          <c:showVal val="0"/>
          <c:showCatName val="0"/>
          <c:showSerName val="0"/>
          <c:showPercent val="0"/>
          <c:showBubbleSize val="0"/>
        </c:dLbls>
        <c:axId val="1082147359"/>
        <c:axId val="1082149439"/>
      </c:scatterChart>
      <c:valAx>
        <c:axId val="1082147359"/>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200" b="1" i="0" u="none" strike="noStrike" kern="1200" baseline="0">
                    <a:solidFill>
                      <a:schemeClr val="tx1">
                        <a:lumMod val="65000"/>
                        <a:lumOff val="35000"/>
                      </a:schemeClr>
                    </a:solidFill>
                    <a:latin typeface="Frutiger 45 Light" panose="020B0300000000000000" pitchFamily="34" charset="0"/>
                    <a:ea typeface="+mn-ea"/>
                    <a:cs typeface="+mn-cs"/>
                  </a:defRPr>
                </a:pPr>
                <a:r>
                  <a:rPr lang="en-US" sz="1200" b="1"/>
                  <a:t>relative change of parameter</a:t>
                </a:r>
              </a:p>
            </c:rich>
          </c:tx>
          <c:layout>
            <c:manualLayout>
              <c:xMode val="edge"/>
              <c:yMode val="edge"/>
              <c:x val="0.41843469168793118"/>
              <c:y val="0.92966779035752589"/>
            </c:manualLayout>
          </c:layout>
          <c:overlay val="0"/>
          <c:spPr>
            <a:noFill/>
            <a:ln>
              <a:noFill/>
            </a:ln>
            <a:effectLst/>
          </c:spPr>
        </c:title>
        <c:numFmt formatCode="0%" sourceLinked="0"/>
        <c:majorTickMark val="none"/>
        <c:minorTickMark val="none"/>
        <c:tickLblPos val="low"/>
        <c:spPr>
          <a:noFill/>
          <a:ln w="9525" cap="flat" cmpd="sng" algn="ctr">
            <a:solidFill>
              <a:schemeClr val="tx1">
                <a:lumMod val="25000"/>
                <a:lumOff val="75000"/>
              </a:schemeClr>
            </a:solidFill>
            <a:round/>
          </a:ln>
          <a:effectLst/>
        </c:spPr>
        <c:txPr>
          <a:bodyPr rot="0" spcFirstLastPara="1" vertOverflow="ellipsis"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9439"/>
        <c:crosses val="autoZero"/>
        <c:crossBetween val="midCat"/>
        <c:majorUnit val="0.1"/>
        <c:minorUnit val="5.000000000000001E-2"/>
      </c:valAx>
      <c:valAx>
        <c:axId val="1082149439"/>
        <c:scaling>
          <c:orientation val="minMax"/>
          <c:min val="-0.150000000000000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Frutiger 45 Light" panose="020B0300000000000000" pitchFamily="34" charset="0"/>
                    <a:ea typeface="+mn-ea"/>
                    <a:cs typeface="+mn-cs"/>
                  </a:defRPr>
                </a:pPr>
                <a:r>
                  <a:rPr lang="de-DE" sz="1200" b="1"/>
                  <a:t>absolute </a:t>
                </a:r>
                <a:r>
                  <a:rPr lang="el-GR" sz="1200" b="1">
                    <a:latin typeface="Calibri" panose="020F0502020204030204" pitchFamily="34" charset="0"/>
                    <a:cs typeface="Calibri" panose="020F0502020204030204" pitchFamily="34" charset="0"/>
                  </a:rPr>
                  <a:t>Δ</a:t>
                </a:r>
                <a:r>
                  <a:rPr lang="de-DE" sz="1200" b="1">
                    <a:latin typeface="Calibri" panose="020F0502020204030204" pitchFamily="34" charset="0"/>
                    <a:cs typeface="Calibri" panose="020F0502020204030204" pitchFamily="34" charset="0"/>
                  </a:rPr>
                  <a:t> </a:t>
                </a:r>
                <a:r>
                  <a:rPr lang="de-DE" sz="1200" b="1"/>
                  <a:t>LCOE (ct€/kWh)</a:t>
                </a:r>
              </a:p>
            </c:rich>
          </c:tx>
          <c:layout>
            <c:manualLayout>
              <c:xMode val="edge"/>
              <c:yMode val="edge"/>
              <c:x val="2.7969170933026675E-2"/>
              <c:y val="0.22386907518913077"/>
            </c:manualLayout>
          </c:layout>
          <c:overlay val="0"/>
          <c:spPr>
            <a:noFill/>
            <a:ln>
              <a:noFill/>
            </a:ln>
            <a:effectLst/>
          </c:spPr>
        </c:title>
        <c:numFmt formatCode="#,##0.00\ &quot;€&quot;"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7359"/>
        <c:crossesAt val="0"/>
        <c:crossBetween val="midCat"/>
      </c:valAx>
    </c:plotArea>
    <c:legend>
      <c:legendPos val="tr"/>
      <c:layout>
        <c:manualLayout>
          <c:xMode val="edge"/>
          <c:yMode val="edge"/>
          <c:x val="0.42023252401438693"/>
          <c:y val="0.12321246081710874"/>
          <c:w val="0.47294474486646831"/>
          <c:h val="0.19935526563420128"/>
        </c:manualLayout>
      </c:layout>
      <c:overlay val="1"/>
      <c:spPr>
        <a:solidFill>
          <a:schemeClr val="bg1"/>
        </a:solid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legend>
    <c:plotVisOnly val="1"/>
    <c:dispBlanksAs val="gap"/>
    <c:showDLblsOverMax val="0"/>
  </c:chart>
  <c:spPr>
    <a:solidFill>
      <a:schemeClr val="bg1"/>
    </a:solidFill>
    <a:ln w="9525" cap="flat" cmpd="sng" algn="ctr">
      <a:noFill/>
      <a:round/>
    </a:ln>
    <a:effectLst/>
  </c:spPr>
  <c:txPr>
    <a:bodyPr/>
    <a:lstStyle/>
    <a:p>
      <a:pPr>
        <a:defRPr sz="1100">
          <a:latin typeface="Frutiger 45 Light" panose="020B0300000000000000" pitchFamily="34" charset="0"/>
        </a:defRPr>
      </a:pPr>
      <a:endParaRPr lang="de-D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r>
              <a:rPr lang="en-US" sz="1400" b="1"/>
              <a:t>Sensitivity on LCOE</a:t>
            </a:r>
          </a:p>
        </c:rich>
      </c:tx>
      <c:layout>
        <c:manualLayout>
          <c:xMode val="edge"/>
          <c:yMode val="edge"/>
          <c:x val="0.38872824995893035"/>
          <c:y val="1.2326653558644086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endParaRPr lang="de-DE"/>
        </a:p>
      </c:txPr>
    </c:title>
    <c:autoTitleDeleted val="0"/>
    <c:plotArea>
      <c:layout>
        <c:manualLayout>
          <c:layoutTarget val="inner"/>
          <c:xMode val="edge"/>
          <c:yMode val="edge"/>
          <c:x val="0.18286182524379238"/>
          <c:y val="9.648228063292795E-2"/>
          <c:w val="0.76121678749428401"/>
          <c:h val="0.76682329704931829"/>
        </c:manualLayout>
      </c:layout>
      <c:scatterChart>
        <c:scatterStyle val="lineMarker"/>
        <c:varyColors val="0"/>
        <c:ser>
          <c:idx val="0"/>
          <c:order val="0"/>
          <c:tx>
            <c:strRef>
              <c:f>SensitivityLCOE!$G$1</c:f>
              <c:strCache>
                <c:ptCount val="1"/>
                <c:pt idx="0">
                  <c:v>[A] LCOE CAPEX [ct€/kWh]</c:v>
                </c:pt>
              </c:strCache>
            </c:strRef>
          </c:tx>
          <c:spPr>
            <a:ln w="19050" cap="rnd">
              <a:solidFill>
                <a:schemeClr val="accent1"/>
              </a:solidFill>
              <a:round/>
            </a:ln>
            <a:effectLst/>
          </c:spPr>
          <c:marker>
            <c:symbol val="square"/>
            <c:size val="6"/>
            <c:spPr>
              <a:solidFill>
                <a:schemeClr val="accent1"/>
              </a:solidFill>
              <a:ln w="9525">
                <a:solidFill>
                  <a:srgbClr val="1F82C0"/>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SensitivityLCOE!$G$2:$G$12</c:f>
              <c:numCache>
                <c:formatCode>_-* #,##0.00\ [$€-407]_-;\-* #,##0.00\ [$€-407]_-;_-* "-"??\ [$€-407]_-;_-@_-</c:formatCode>
                <c:ptCount val="11"/>
                <c:pt idx="0">
                  <c:v>-5.8191556958132017E-3</c:v>
                </c:pt>
                <c:pt idx="1">
                  <c:v>1.3017013165024153E-2</c:v>
                </c:pt>
                <c:pt idx="2">
                  <c:v>3.1853182025861501E-2</c:v>
                </c:pt>
                <c:pt idx="3">
                  <c:v>5.0689350886698861E-2</c:v>
                </c:pt>
                <c:pt idx="4">
                  <c:v>6.9525519747536221E-2</c:v>
                </c:pt>
                <c:pt idx="5">
                  <c:v>8.8361688608373568E-2</c:v>
                </c:pt>
                <c:pt idx="6">
                  <c:v>0.10719785746921094</c:v>
                </c:pt>
                <c:pt idx="7">
                  <c:v>0.12603402633004829</c:v>
                </c:pt>
                <c:pt idx="8">
                  <c:v>0.14487019519088562</c:v>
                </c:pt>
                <c:pt idx="9">
                  <c:v>0.16370636405172298</c:v>
                </c:pt>
                <c:pt idx="10">
                  <c:v>0.18254253291256037</c:v>
                </c:pt>
              </c:numCache>
            </c:numRef>
          </c:yVal>
          <c:smooth val="0"/>
          <c:extLst>
            <c:ext xmlns:c16="http://schemas.microsoft.com/office/drawing/2014/chart" uri="{C3380CC4-5D6E-409C-BE32-E72D297353CC}">
              <c16:uniqueId val="{00000000-CB9A-4EE4-B2DA-FAF2EEF4E112}"/>
            </c:ext>
          </c:extLst>
        </c:ser>
        <c:ser>
          <c:idx val="3"/>
          <c:order val="1"/>
          <c:tx>
            <c:strRef>
              <c:f>SensitivityLCOE!$H$1</c:f>
              <c:strCache>
                <c:ptCount val="1"/>
                <c:pt idx="0">
                  <c:v>[B] LCOE Energy Sales Price [ct€/kWh]</c:v>
                </c:pt>
              </c:strCache>
            </c:strRef>
          </c:tx>
          <c:spPr>
            <a:ln w="19050" cap="rnd">
              <a:solidFill>
                <a:srgbClr val="E2001A"/>
              </a:solidFill>
              <a:round/>
            </a:ln>
            <a:effectLst/>
          </c:spPr>
          <c:marker>
            <c:symbol val="triangle"/>
            <c:size val="6"/>
            <c:spPr>
              <a:solidFill>
                <a:srgbClr val="E2001A"/>
              </a:solidFill>
              <a:ln w="9525">
                <a:solidFill>
                  <a:srgbClr val="E2001A"/>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SensitivityLCOE!$H$2:$H$12</c:f>
              <c:numCache>
                <c:formatCode>_-* #,##0.00\ [$€-407]_-;\-* #,##0.00\ [$€-407]_-;_-* "-"??\ [$€-407]_-;_-@_-</c:formatCode>
                <c:ptCount val="11"/>
                <c:pt idx="0">
                  <c:v>0.13836168860837356</c:v>
                </c:pt>
                <c:pt idx="1">
                  <c:v>0.12836168860837358</c:v>
                </c:pt>
                <c:pt idx="2">
                  <c:v>0.11836168860837359</c:v>
                </c:pt>
                <c:pt idx="3">
                  <c:v>0.10836168860837356</c:v>
                </c:pt>
                <c:pt idx="4">
                  <c:v>9.8361688608373576E-2</c:v>
                </c:pt>
                <c:pt idx="5">
                  <c:v>8.8361688608373568E-2</c:v>
                </c:pt>
                <c:pt idx="6">
                  <c:v>7.8361688608373573E-2</c:v>
                </c:pt>
                <c:pt idx="7">
                  <c:v>6.8361688608373591E-2</c:v>
                </c:pt>
                <c:pt idx="8">
                  <c:v>5.8361688608373576E-2</c:v>
                </c:pt>
                <c:pt idx="9">
                  <c:v>4.8361688608373601E-2</c:v>
                </c:pt>
                <c:pt idx="10">
                  <c:v>3.8361688608373565E-2</c:v>
                </c:pt>
              </c:numCache>
            </c:numRef>
          </c:yVal>
          <c:smooth val="0"/>
          <c:extLst>
            <c:ext xmlns:c16="http://schemas.microsoft.com/office/drawing/2014/chart" uri="{C3380CC4-5D6E-409C-BE32-E72D297353CC}">
              <c16:uniqueId val="{00000001-CB9A-4EE4-B2DA-FAF2EEF4E112}"/>
            </c:ext>
          </c:extLst>
        </c:ser>
        <c:ser>
          <c:idx val="1"/>
          <c:order val="2"/>
          <c:tx>
            <c:strRef>
              <c:f>SensitivityLCOE!$I$1</c:f>
              <c:strCache>
                <c:ptCount val="1"/>
                <c:pt idx="0">
                  <c:v>[C] LCOE Interest rate [ct€/kWh]</c:v>
                </c:pt>
              </c:strCache>
            </c:strRef>
          </c:tx>
          <c:spPr>
            <a:ln w="19050" cap="rnd">
              <a:solidFill>
                <a:schemeClr val="accent2"/>
              </a:solidFill>
              <a:round/>
            </a:ln>
            <a:effectLst/>
          </c:spPr>
          <c:marker>
            <c:symbol val="circle"/>
            <c:size val="6"/>
            <c:spPr>
              <a:solidFill>
                <a:schemeClr val="accent2"/>
              </a:solidFill>
              <a:ln w="9525">
                <a:solidFill>
                  <a:srgbClr val="F29400"/>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SensitivityLCOE!$I$2:$I$12</c:f>
              <c:numCache>
                <c:formatCode>_-* #,##0.00\ [$€-407]_-;\-* #,##0.00\ [$€-407]_-;_-* "-"??\ [$€-407]_-;_-@_-</c:formatCode>
                <c:ptCount val="11"/>
                <c:pt idx="0">
                  <c:v>5.0123033577882607E-2</c:v>
                </c:pt>
                <c:pt idx="1">
                  <c:v>5.736591904041604E-2</c:v>
                </c:pt>
                <c:pt idx="2">
                  <c:v>6.4817198493555009E-2</c:v>
                </c:pt>
                <c:pt idx="3">
                  <c:v>7.2471043577943303E-2</c:v>
                </c:pt>
                <c:pt idx="4">
                  <c:v>8.0321329082584797E-2</c:v>
                </c:pt>
                <c:pt idx="5">
                  <c:v>8.8361688608373568E-2</c:v>
                </c:pt>
                <c:pt idx="6">
                  <c:v>9.6585568545930214E-2</c:v>
                </c:pt>
                <c:pt idx="7">
                  <c:v>0.10498627973258357</c:v>
                </c:pt>
                <c:pt idx="8">
                  <c:v>0.11355704626244623</c:v>
                </c:pt>
                <c:pt idx="9">
                  <c:v>0.12229105103309365</c:v>
                </c:pt>
                <c:pt idx="10">
                  <c:v>0.13118147771895511</c:v>
                </c:pt>
              </c:numCache>
            </c:numRef>
          </c:yVal>
          <c:smooth val="0"/>
          <c:extLst>
            <c:ext xmlns:c16="http://schemas.microsoft.com/office/drawing/2014/chart" uri="{C3380CC4-5D6E-409C-BE32-E72D297353CC}">
              <c16:uniqueId val="{00000002-CB9A-4EE4-B2DA-FAF2EEF4E112}"/>
            </c:ext>
          </c:extLst>
        </c:ser>
        <c:ser>
          <c:idx val="2"/>
          <c:order val="3"/>
          <c:tx>
            <c:strRef>
              <c:f>SensitivityLCOE!$J$1</c:f>
              <c:strCache>
                <c:ptCount val="1"/>
                <c:pt idx="0">
                  <c:v>[D] LCOE Specific yield [ct€/kWh]</c:v>
                </c:pt>
              </c:strCache>
            </c:strRef>
          </c:tx>
          <c:spPr>
            <a:ln w="19050" cap="rnd">
              <a:solidFill>
                <a:srgbClr val="179C7D"/>
              </a:solidFill>
              <a:round/>
            </a:ln>
            <a:effectLst/>
          </c:spPr>
          <c:marker>
            <c:symbol val="diamond"/>
            <c:size val="6"/>
            <c:spPr>
              <a:solidFill>
                <a:srgbClr val="009999"/>
              </a:solidFill>
              <a:ln w="9525">
                <a:solidFill>
                  <a:srgbClr val="179C7D"/>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SensitivityLCOE!$J$2:$J$12</c:f>
              <c:numCache>
                <c:formatCode>_-* #,##0.00\ [$€-407]_-;\-* #,##0.00\ [$€-407]_-;_-* "-"??\ [$€-407]_-;_-@_-</c:formatCode>
                <c:ptCount val="11"/>
                <c:pt idx="0">
                  <c:v>0.27672337721674711</c:v>
                </c:pt>
                <c:pt idx="1">
                  <c:v>0.21393614768062261</c:v>
                </c:pt>
                <c:pt idx="2">
                  <c:v>0.16908812658339087</c:v>
                </c:pt>
                <c:pt idx="3">
                  <c:v>0.13545211076046698</c:v>
                </c:pt>
                <c:pt idx="4">
                  <c:v>0.10929076512041511</c:v>
                </c:pt>
                <c:pt idx="5">
                  <c:v>8.8361688608373568E-2</c:v>
                </c:pt>
                <c:pt idx="6">
                  <c:v>7.1237898734885063E-2</c:v>
                </c:pt>
                <c:pt idx="7">
                  <c:v>5.6968073840311308E-2</c:v>
                </c:pt>
                <c:pt idx="8">
                  <c:v>4.489360662182583E-2</c:v>
                </c:pt>
                <c:pt idx="9">
                  <c:v>3.4544063291695432E-2</c:v>
                </c:pt>
                <c:pt idx="10">
                  <c:v>2.5574459072249062E-2</c:v>
                </c:pt>
              </c:numCache>
            </c:numRef>
          </c:yVal>
          <c:smooth val="0"/>
          <c:extLst>
            <c:ext xmlns:c16="http://schemas.microsoft.com/office/drawing/2014/chart" uri="{C3380CC4-5D6E-409C-BE32-E72D297353CC}">
              <c16:uniqueId val="{00000003-CB9A-4EE4-B2DA-FAF2EEF4E112}"/>
            </c:ext>
          </c:extLst>
        </c:ser>
        <c:ser>
          <c:idx val="4"/>
          <c:order val="4"/>
          <c:tx>
            <c:strRef>
              <c:f>SensitivityLCOE!$K$1</c:f>
              <c:strCache>
                <c:ptCount val="1"/>
                <c:pt idx="0">
                  <c:v>[E] LCOE System Lifetime  [ct€/kWh]</c:v>
                </c:pt>
              </c:strCache>
            </c:strRef>
          </c:tx>
          <c:spPr>
            <a:ln w="19050" cap="rnd">
              <a:solidFill>
                <a:srgbClr val="B1C800"/>
              </a:solidFill>
              <a:round/>
            </a:ln>
            <a:effectLst/>
          </c:spPr>
          <c:marker>
            <c:symbol val="dash"/>
            <c:size val="8"/>
            <c:spPr>
              <a:solidFill>
                <a:srgbClr val="B1C800"/>
              </a:solidFill>
              <a:ln w="9525">
                <a:solidFill>
                  <a:srgbClr val="B1C800"/>
                </a:solidFill>
              </a:ln>
              <a:effectLst/>
            </c:spPr>
          </c:marker>
          <c:xVal>
            <c:numRef>
              <c:f>SensitivityLCOE!$A$2:$A$12</c:f>
              <c:numCache>
                <c:formatCode>0.0%</c:formatCode>
                <c:ptCount val="11"/>
                <c:pt idx="0">
                  <c:v>-0.5</c:v>
                </c:pt>
                <c:pt idx="1">
                  <c:v>-0.4</c:v>
                </c:pt>
                <c:pt idx="2">
                  <c:v>-0.3</c:v>
                </c:pt>
                <c:pt idx="3">
                  <c:v>-0.2</c:v>
                </c:pt>
                <c:pt idx="4">
                  <c:v>-0.1</c:v>
                </c:pt>
                <c:pt idx="5">
                  <c:v>0</c:v>
                </c:pt>
                <c:pt idx="6">
                  <c:v>0.1</c:v>
                </c:pt>
                <c:pt idx="7">
                  <c:v>0.2</c:v>
                </c:pt>
                <c:pt idx="8">
                  <c:v>0.3</c:v>
                </c:pt>
                <c:pt idx="9">
                  <c:v>0.4</c:v>
                </c:pt>
                <c:pt idx="10">
                  <c:v>0.5</c:v>
                </c:pt>
              </c:numCache>
            </c:numRef>
          </c:xVal>
          <c:yVal>
            <c:numRef>
              <c:f>SensitivityLCOE!$K$2:$K$12</c:f>
              <c:numCache>
                <c:formatCode>_-* #,##0.00\ [$€-407]_-;\-* #,##0.00\ [$€-407]_-;_-* "-"??\ [$€-407]_-;_-@_-</c:formatCode>
                <c:ptCount val="11"/>
                <c:pt idx="0">
                  <c:v>0.17505469301941493</c:v>
                </c:pt>
                <c:pt idx="1">
                  <c:v>0.15706351114062089</c:v>
                </c:pt>
                <c:pt idx="2">
                  <c:v>0.13049711524026278</c:v>
                </c:pt>
                <c:pt idx="3">
                  <c:v>0.11199021379290361</c:v>
                </c:pt>
                <c:pt idx="4">
                  <c:v>9.8507495745043888E-2</c:v>
                </c:pt>
                <c:pt idx="5">
                  <c:v>8.8361688608373568E-2</c:v>
                </c:pt>
                <c:pt idx="6">
                  <c:v>8.4206890714615706E-2</c:v>
                </c:pt>
                <c:pt idx="7">
                  <c:v>7.7288854825039971E-2</c:v>
                </c:pt>
                <c:pt idx="8">
                  <c:v>7.1813470419477346E-2</c:v>
                </c:pt>
                <c:pt idx="9">
                  <c:v>6.7423831773246456E-2</c:v>
                </c:pt>
                <c:pt idx="10">
                  <c:v>6.3868576213068962E-2</c:v>
                </c:pt>
              </c:numCache>
            </c:numRef>
          </c:yVal>
          <c:smooth val="0"/>
          <c:extLst>
            <c:ext xmlns:c16="http://schemas.microsoft.com/office/drawing/2014/chart" uri="{C3380CC4-5D6E-409C-BE32-E72D297353CC}">
              <c16:uniqueId val="{00000005-CB9A-4EE4-B2DA-FAF2EEF4E112}"/>
            </c:ext>
          </c:extLst>
        </c:ser>
        <c:dLbls>
          <c:showLegendKey val="0"/>
          <c:showVal val="0"/>
          <c:showCatName val="0"/>
          <c:showSerName val="0"/>
          <c:showPercent val="0"/>
          <c:showBubbleSize val="0"/>
        </c:dLbls>
        <c:axId val="1082147359"/>
        <c:axId val="1082149439"/>
      </c:scatterChart>
      <c:valAx>
        <c:axId val="1082147359"/>
        <c:scaling>
          <c:orientation val="minMax"/>
          <c:max val="0.5"/>
          <c:min val="-0.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200" b="1" i="0" u="none" strike="noStrike" kern="1200" baseline="0">
                    <a:solidFill>
                      <a:schemeClr val="tx1">
                        <a:lumMod val="65000"/>
                        <a:lumOff val="35000"/>
                      </a:schemeClr>
                    </a:solidFill>
                    <a:latin typeface="Frutiger 45 Light" panose="020B0300000000000000" pitchFamily="34" charset="0"/>
                    <a:ea typeface="+mn-ea"/>
                    <a:cs typeface="+mn-cs"/>
                  </a:defRPr>
                </a:pPr>
                <a:r>
                  <a:rPr lang="en-US" sz="1200" b="1"/>
                  <a:t>relative change of parameter</a:t>
                </a:r>
              </a:p>
            </c:rich>
          </c:tx>
          <c:layout>
            <c:manualLayout>
              <c:xMode val="edge"/>
              <c:yMode val="edge"/>
              <c:x val="0.41843469168793118"/>
              <c:y val="0.92966779035752589"/>
            </c:manualLayout>
          </c:layout>
          <c:overlay val="0"/>
          <c:spPr>
            <a:noFill/>
            <a:ln>
              <a:noFill/>
            </a:ln>
            <a:effectLst/>
          </c:spPr>
          <c:txPr>
            <a:bodyPr rot="0" spcFirstLastPara="1" vertOverflow="ellipsis" vert="horz" wrap="square" anchor="ctr" anchorCtr="1"/>
            <a:lstStyle/>
            <a:p>
              <a:pPr>
                <a:defRPr sz="1200" b="1"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title>
        <c:numFmt formatCode="0%" sourceLinked="0"/>
        <c:majorTickMark val="none"/>
        <c:minorTickMark val="none"/>
        <c:tickLblPos val="low"/>
        <c:spPr>
          <a:noFill/>
          <a:ln w="9525" cap="flat" cmpd="sng" algn="ctr">
            <a:solidFill>
              <a:schemeClr val="tx1">
                <a:lumMod val="25000"/>
                <a:lumOff val="75000"/>
              </a:schemeClr>
            </a:solidFill>
            <a:round/>
          </a:ln>
          <a:effectLst/>
        </c:spPr>
        <c:txPr>
          <a:bodyPr rot="0" spcFirstLastPara="1" vertOverflow="ellipsis"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9439"/>
        <c:crosses val="autoZero"/>
        <c:crossBetween val="midCat"/>
        <c:majorUnit val="0.1"/>
        <c:minorUnit val="5.000000000000001E-2"/>
      </c:valAx>
      <c:valAx>
        <c:axId val="1082149439"/>
        <c:scaling>
          <c:orientation val="minMax"/>
          <c:min val="-0.15000000000000002"/>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Frutiger 45 Light" panose="020B0300000000000000" pitchFamily="34" charset="0"/>
                    <a:ea typeface="+mn-ea"/>
                    <a:cs typeface="+mn-cs"/>
                  </a:defRPr>
                </a:pPr>
                <a:r>
                  <a:rPr lang="de-DE" sz="1200" b="1"/>
                  <a:t>absolute LCOE (ct€/kWh)</a:t>
                </a:r>
              </a:p>
            </c:rich>
          </c:tx>
          <c:layout>
            <c:manualLayout>
              <c:xMode val="edge"/>
              <c:yMode val="edge"/>
              <c:x val="2.7969170933026675E-2"/>
              <c:y val="0.22386907518913077"/>
            </c:manualLayout>
          </c:layout>
          <c:overlay val="0"/>
          <c:spPr>
            <a:noFill/>
            <a:ln>
              <a:noFill/>
            </a:ln>
            <a:effectLst/>
          </c:spPr>
          <c:txPr>
            <a:bodyPr rot="-5400000" spcFirstLastPara="1" vertOverflow="ellipsis" vert="horz" wrap="square" anchor="ctr" anchorCtr="1"/>
            <a:lstStyle/>
            <a:p>
              <a:pPr>
                <a:defRPr sz="1200" b="1"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title>
        <c:numFmt formatCode="#,##0.00\ &quot;€&quot;"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7359"/>
        <c:crossesAt val="0"/>
        <c:crossBetween val="midCat"/>
      </c:valAx>
      <c:spPr>
        <a:noFill/>
        <a:ln>
          <a:noFill/>
        </a:ln>
        <a:effectLst/>
      </c:spPr>
    </c:plotArea>
    <c:legend>
      <c:legendPos val="tr"/>
      <c:layout>
        <c:manualLayout>
          <c:xMode val="edge"/>
          <c:yMode val="edge"/>
          <c:x val="0.42023252401438693"/>
          <c:y val="0.11036234238556664"/>
          <c:w val="0.43951740261654493"/>
          <c:h val="0.19164516540289828"/>
        </c:manualLayout>
      </c:layout>
      <c:overlay val="1"/>
      <c:spPr>
        <a:solidFill>
          <a:schemeClr val="bg1"/>
        </a:solid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legend>
    <c:plotVisOnly val="1"/>
    <c:dispBlanksAs val="gap"/>
    <c:showDLblsOverMax val="0"/>
  </c:chart>
  <c:spPr>
    <a:solidFill>
      <a:schemeClr val="bg1"/>
    </a:solidFill>
    <a:ln w="9525" cap="flat" cmpd="sng" algn="ctr">
      <a:noFill/>
      <a:round/>
    </a:ln>
    <a:effectLst/>
  </c:spPr>
  <c:txPr>
    <a:bodyPr/>
    <a:lstStyle/>
    <a:p>
      <a:pPr>
        <a:defRPr sz="1100">
          <a:latin typeface="Frutiger 45 Light" panose="020B0300000000000000" pitchFamily="34" charset="0"/>
        </a:defRPr>
      </a:pPr>
      <a:endParaRPr lang="de-D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r>
              <a:rPr lang="en-US" sz="1400" b="1"/>
              <a:t>System Cost Sensitivity</a:t>
            </a:r>
          </a:p>
        </c:rich>
      </c:tx>
      <c:layout>
        <c:manualLayout>
          <c:xMode val="edge"/>
          <c:yMode val="edge"/>
          <c:x val="0.30263172748567718"/>
          <c:y val="1.6236103088134004E-3"/>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endParaRPr lang="de-DE"/>
        </a:p>
      </c:txPr>
    </c:title>
    <c:autoTitleDeleted val="0"/>
    <c:plotArea>
      <c:layout>
        <c:manualLayout>
          <c:layoutTarget val="inner"/>
          <c:xMode val="edge"/>
          <c:yMode val="edge"/>
          <c:x val="7.2877549929770108E-2"/>
          <c:y val="9.648228063292795E-2"/>
          <c:w val="0.89894982873587215"/>
          <c:h val="0.65306058986643933"/>
        </c:manualLayout>
      </c:layout>
      <c:scatterChart>
        <c:scatterStyle val="lineMarker"/>
        <c:varyColors val="0"/>
        <c:ser>
          <c:idx val="0"/>
          <c:order val="0"/>
          <c:tx>
            <c:strRef>
              <c:f>SensitivitySystemCost!$C$1</c:f>
              <c:strCache>
                <c:ptCount val="1"/>
                <c:pt idx="0">
                  <c:v>Amortization [years]</c:v>
                </c:pt>
              </c:strCache>
            </c:strRef>
          </c:tx>
          <c:spPr>
            <a:ln w="19050" cap="rnd">
              <a:solidFill>
                <a:srgbClr val="1F82C0"/>
              </a:solidFill>
              <a:round/>
            </a:ln>
            <a:effectLst/>
          </c:spPr>
          <c:marker>
            <c:symbol val="circle"/>
            <c:size val="5"/>
            <c:spPr>
              <a:solidFill>
                <a:schemeClr val="accent1"/>
              </a:solidFill>
              <a:ln w="9525">
                <a:solidFill>
                  <a:srgbClr val="1F82C0"/>
                </a:solidFill>
              </a:ln>
              <a:effectLst/>
            </c:spPr>
          </c:marker>
          <c:dLbls>
            <c:numFmt formatCode="#,##0" sourceLinked="0"/>
            <c:spPr>
              <a:noFill/>
              <a:ln>
                <a:noFill/>
              </a:ln>
              <a:effectLst/>
            </c:spPr>
            <c:txPr>
              <a:bodyPr rot="0" spcFirstLastPara="1" vertOverflow="ellipsis" vert="horz" wrap="square" anchor="ctr" anchorCtr="1"/>
              <a:lstStyle/>
              <a:p>
                <a:pPr>
                  <a:defRPr sz="1100" b="1" i="0" u="none" strike="noStrike" kern="1200" baseline="0">
                    <a:solidFill>
                      <a:srgbClr val="1F82C0"/>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SensitivitySystemCost!$A$2:$A$10</c:f>
              <c:numCache>
                <c:formatCode>_-* #,##0.0\ [$€-407]_-;\-* #,##0.0\ [$€-407]_-;_-* "-"??\ [$€-407]_-;_-@_-</c:formatCode>
                <c:ptCount val="9"/>
                <c:pt idx="0">
                  <c:v>600</c:v>
                </c:pt>
                <c:pt idx="1">
                  <c:v>800</c:v>
                </c:pt>
                <c:pt idx="2">
                  <c:v>1000</c:v>
                </c:pt>
                <c:pt idx="3">
                  <c:v>1200</c:v>
                </c:pt>
                <c:pt idx="4">
                  <c:v>1400</c:v>
                </c:pt>
                <c:pt idx="5">
                  <c:v>1600</c:v>
                </c:pt>
                <c:pt idx="6">
                  <c:v>1800</c:v>
                </c:pt>
                <c:pt idx="7">
                  <c:v>2000</c:v>
                </c:pt>
                <c:pt idx="8">
                  <c:v>2200</c:v>
                </c:pt>
              </c:numCache>
            </c:numRef>
          </c:xVal>
          <c:yVal>
            <c:numRef>
              <c:f>SensitivitySystemCost!$C$2:$C$10</c:f>
              <c:numCache>
                <c:formatCode>General</c:formatCode>
                <c:ptCount val="9"/>
                <c:pt idx="0">
                  <c:v>10.766285873390844</c:v>
                </c:pt>
                <c:pt idx="1">
                  <c:v>15.173900587900825</c:v>
                </c:pt>
              </c:numCache>
            </c:numRef>
          </c:yVal>
          <c:smooth val="0"/>
          <c:extLst>
            <c:ext xmlns:c16="http://schemas.microsoft.com/office/drawing/2014/chart" uri="{C3380CC4-5D6E-409C-BE32-E72D297353CC}">
              <c16:uniqueId val="{00000000-47FB-45FF-B6D7-F2987F38BA46}"/>
            </c:ext>
          </c:extLst>
        </c:ser>
        <c:ser>
          <c:idx val="1"/>
          <c:order val="1"/>
          <c:tx>
            <c:strRef>
              <c:f>SensitivitySystemCost!$E$1</c:f>
              <c:strCache>
                <c:ptCount val="1"/>
                <c:pt idx="0">
                  <c:v>IRR [%]</c:v>
                </c:pt>
              </c:strCache>
            </c:strRef>
          </c:tx>
          <c:spPr>
            <a:ln w="19050" cap="rnd">
              <a:solidFill>
                <a:srgbClr val="F29400"/>
              </a:solidFill>
              <a:round/>
            </a:ln>
            <a:effectLst/>
          </c:spPr>
          <c:marker>
            <c:symbol val="circle"/>
            <c:size val="5"/>
            <c:spPr>
              <a:solidFill>
                <a:schemeClr val="accent2"/>
              </a:solidFill>
              <a:ln w="9525">
                <a:solidFill>
                  <a:srgbClr val="F29400"/>
                </a:solidFill>
              </a:ln>
              <a:effectLst/>
            </c:spPr>
          </c:marker>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F29400"/>
                    </a:solidFill>
                    <a:latin typeface="Frutiger 45 Light" panose="020B0300000000000000" pitchFamily="34" charset="0"/>
                    <a:ea typeface="+mn-ea"/>
                    <a:cs typeface="+mn-cs"/>
                  </a:defRPr>
                </a:pPr>
                <a:endParaRPr lang="de-DE"/>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SensitivitySystemCost!$A$2:$A$10</c:f>
              <c:numCache>
                <c:formatCode>_-* #,##0.0\ [$€-407]_-;\-* #,##0.0\ [$€-407]_-;_-* "-"??\ [$€-407]_-;_-@_-</c:formatCode>
                <c:ptCount val="9"/>
                <c:pt idx="0">
                  <c:v>600</c:v>
                </c:pt>
                <c:pt idx="1">
                  <c:v>800</c:v>
                </c:pt>
                <c:pt idx="2">
                  <c:v>1000</c:v>
                </c:pt>
                <c:pt idx="3">
                  <c:v>1200</c:v>
                </c:pt>
                <c:pt idx="4">
                  <c:v>1400</c:v>
                </c:pt>
                <c:pt idx="5">
                  <c:v>1600</c:v>
                </c:pt>
                <c:pt idx="6">
                  <c:v>1800</c:v>
                </c:pt>
                <c:pt idx="7">
                  <c:v>2000</c:v>
                </c:pt>
                <c:pt idx="8">
                  <c:v>2200</c:v>
                </c:pt>
              </c:numCache>
            </c:numRef>
          </c:xVal>
          <c:yVal>
            <c:numRef>
              <c:f>SensitivitySystemCost!$E$2:$E$10</c:f>
              <c:numCache>
                <c:formatCode>_(* #,##0.00_);_(* \(#,##0.00\);_(* "-"??_);_(@_)</c:formatCode>
                <c:ptCount val="9"/>
                <c:pt idx="0">
                  <c:v>7.8119931419859512</c:v>
                </c:pt>
                <c:pt idx="1">
                  <c:v>2.3024449585691276</c:v>
                </c:pt>
                <c:pt idx="2">
                  <c:v>-1.4575073821972762</c:v>
                </c:pt>
                <c:pt idx="3">
                  <c:v>-4.3281102348747709</c:v>
                </c:pt>
                <c:pt idx="4">
                  <c:v>-6.677417799174501</c:v>
                </c:pt>
                <c:pt idx="5">
                  <c:v>-8.6942078670807952</c:v>
                </c:pt>
                <c:pt idx="6">
                  <c:v>-10.488188209043658</c:v>
                </c:pt>
                <c:pt idx="7">
                  <c:v>-12.129585653113717</c:v>
                </c:pt>
                <c:pt idx="8">
                  <c:v>-13.667309106541758</c:v>
                </c:pt>
              </c:numCache>
            </c:numRef>
          </c:yVal>
          <c:smooth val="0"/>
          <c:extLst>
            <c:ext xmlns:c16="http://schemas.microsoft.com/office/drawing/2014/chart" uri="{C3380CC4-5D6E-409C-BE32-E72D297353CC}">
              <c16:uniqueId val="{00000001-47FB-45FF-B6D7-F2987F38BA46}"/>
            </c:ext>
          </c:extLst>
        </c:ser>
        <c:ser>
          <c:idx val="2"/>
          <c:order val="2"/>
          <c:tx>
            <c:strRef>
              <c:f>SensitivitySystemCost!$F$1</c:f>
              <c:strCache>
                <c:ptCount val="1"/>
                <c:pt idx="0">
                  <c:v>LCOE [€/MWh]</c:v>
                </c:pt>
              </c:strCache>
            </c:strRef>
          </c:tx>
          <c:spPr>
            <a:ln w="19050" cap="rnd">
              <a:solidFill>
                <a:srgbClr val="179C7D"/>
              </a:solidFill>
              <a:round/>
            </a:ln>
            <a:effectLst/>
          </c:spPr>
          <c:marker>
            <c:symbol val="circle"/>
            <c:size val="5"/>
            <c:spPr>
              <a:solidFill>
                <a:srgbClr val="009999"/>
              </a:solidFill>
              <a:ln w="9525">
                <a:solidFill>
                  <a:srgbClr val="179C7D"/>
                </a:solidFill>
              </a:ln>
              <a:effectLst/>
            </c:spPr>
          </c:marker>
          <c:dLbls>
            <c:numFmt formatCode="#,##0\ &quot;€&quot;"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179C7D"/>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SensitivitySystemCost!$A$2:$A$10</c:f>
              <c:numCache>
                <c:formatCode>_-* #,##0.0\ [$€-407]_-;\-* #,##0.0\ [$€-407]_-;_-* "-"??\ [$€-407]_-;_-@_-</c:formatCode>
                <c:ptCount val="9"/>
                <c:pt idx="0">
                  <c:v>600</c:v>
                </c:pt>
                <c:pt idx="1">
                  <c:v>800</c:v>
                </c:pt>
                <c:pt idx="2">
                  <c:v>1000</c:v>
                </c:pt>
                <c:pt idx="3">
                  <c:v>1200</c:v>
                </c:pt>
                <c:pt idx="4">
                  <c:v>1400</c:v>
                </c:pt>
                <c:pt idx="5">
                  <c:v>1600</c:v>
                </c:pt>
                <c:pt idx="6">
                  <c:v>1800</c:v>
                </c:pt>
                <c:pt idx="7">
                  <c:v>2000</c:v>
                </c:pt>
                <c:pt idx="8">
                  <c:v>2200</c:v>
                </c:pt>
              </c:numCache>
            </c:numRef>
          </c:xVal>
          <c:yVal>
            <c:numRef>
              <c:f>SensitivitySystemCost!$F$2:$F$10</c:f>
              <c:numCache>
                <c:formatCode>_-* #,##0.00\ [$€-407]_-;\-* #,##0.00\ [$€-407]_-;_-* "-"??\ [$€-407]_-;_-@_-</c:formatCode>
                <c:ptCount val="9"/>
                <c:pt idx="2">
                  <c:v>51.138997328269816</c:v>
                </c:pt>
                <c:pt idx="3">
                  <c:v>78.346796793923801</c:v>
                </c:pt>
                <c:pt idx="4">
                  <c:v>105.55459625957775</c:v>
                </c:pt>
                <c:pt idx="5">
                  <c:v>132.76239572523173</c:v>
                </c:pt>
                <c:pt idx="6">
                  <c:v>159.97019519088573</c:v>
                </c:pt>
                <c:pt idx="7">
                  <c:v>187.17799465653968</c:v>
                </c:pt>
                <c:pt idx="8">
                  <c:v>214.38579412219363</c:v>
                </c:pt>
              </c:numCache>
            </c:numRef>
          </c:yVal>
          <c:smooth val="0"/>
          <c:extLst>
            <c:ext xmlns:c16="http://schemas.microsoft.com/office/drawing/2014/chart" uri="{C3380CC4-5D6E-409C-BE32-E72D297353CC}">
              <c16:uniqueId val="{00000000-1E43-4E9E-B858-01AF8475DD07}"/>
            </c:ext>
          </c:extLst>
        </c:ser>
        <c:dLbls>
          <c:showLegendKey val="0"/>
          <c:showVal val="0"/>
          <c:showCatName val="0"/>
          <c:showSerName val="0"/>
          <c:showPercent val="0"/>
          <c:showBubbleSize val="0"/>
        </c:dLbls>
        <c:axId val="1082147359"/>
        <c:axId val="1082149439"/>
      </c:scatterChart>
      <c:valAx>
        <c:axId val="1082147359"/>
        <c:scaling>
          <c:orientation val="minMax"/>
          <c:min val="400"/>
        </c:scaling>
        <c:delete val="0"/>
        <c:axPos val="b"/>
        <c:title>
          <c:tx>
            <c:rich>
              <a:bodyPr rot="0" spcFirstLastPara="1" vertOverflow="ellipsis" vert="horz" wrap="square" anchor="ctr" anchorCtr="1"/>
              <a:lstStyle/>
              <a:p>
                <a:pPr>
                  <a:defRPr sz="1100" b="1" i="0" u="none" strike="noStrike" kern="1200" baseline="0">
                    <a:solidFill>
                      <a:schemeClr val="tx1">
                        <a:lumMod val="65000"/>
                        <a:lumOff val="35000"/>
                      </a:schemeClr>
                    </a:solidFill>
                    <a:latin typeface="Frutiger 45 Light" panose="020B0300000000000000" pitchFamily="34" charset="0"/>
                    <a:ea typeface="+mn-ea"/>
                    <a:cs typeface="+mn-cs"/>
                  </a:defRPr>
                </a:pPr>
                <a:r>
                  <a:rPr lang="en-US" b="1"/>
                  <a:t>System Price [€/kWp]</a:t>
                </a:r>
              </a:p>
            </c:rich>
          </c:tx>
          <c:layout>
            <c:manualLayout>
              <c:xMode val="edge"/>
              <c:yMode val="edge"/>
              <c:x val="0.37482392111666024"/>
              <c:y val="0.88007442576935635"/>
            </c:manualLayout>
          </c:layout>
          <c:overlay val="0"/>
          <c:spPr>
            <a:noFill/>
            <a:ln>
              <a:noFill/>
            </a:ln>
            <a:effectLst/>
          </c:spPr>
          <c:txPr>
            <a:bodyPr rot="0" spcFirstLastPara="1" vertOverflow="ellipsis" vert="horz" wrap="square" anchor="ctr" anchorCtr="1"/>
            <a:lstStyle/>
            <a:p>
              <a:pPr>
                <a:defRPr sz="1100" b="1"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title>
        <c:numFmt formatCode="_-* #,##0\ [$€-407]_-;\-* #,##0\ [$€-407]_-;_-* &quot;-&quot;\ [$€-407]_-;_-@_-" sourceLinked="0"/>
        <c:majorTickMark val="none"/>
        <c:minorTickMark val="none"/>
        <c:tickLblPos val="low"/>
        <c:spPr>
          <a:noFill/>
          <a:ln w="9525" cap="flat" cmpd="sng" algn="ctr">
            <a:solidFill>
              <a:schemeClr val="tx1">
                <a:lumMod val="25000"/>
                <a:lumOff val="7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9439"/>
        <c:crosses val="autoZero"/>
        <c:crossBetween val="midCat"/>
        <c:majorUnit val="200"/>
      </c:valAx>
      <c:valAx>
        <c:axId val="1082149439"/>
        <c:scaling>
          <c:orientation val="minMax"/>
          <c:max val="200"/>
        </c:scaling>
        <c:delete val="0"/>
        <c:axPos val="l"/>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7359"/>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legend>
    <c:plotVisOnly val="1"/>
    <c:dispBlanksAs val="gap"/>
    <c:showDLblsOverMax val="0"/>
  </c:chart>
  <c:spPr>
    <a:solidFill>
      <a:schemeClr val="bg1"/>
    </a:solidFill>
    <a:ln w="9525" cap="flat" cmpd="sng" algn="ctr">
      <a:noFill/>
      <a:round/>
    </a:ln>
    <a:effectLst/>
  </c:spPr>
  <c:txPr>
    <a:bodyPr/>
    <a:lstStyle/>
    <a:p>
      <a:pPr>
        <a:defRPr sz="1100">
          <a:latin typeface="Frutiger 45 Light" panose="020B0300000000000000" pitchFamily="34" charset="0"/>
        </a:defRPr>
      </a:pPr>
      <a:endParaRPr lang="de-D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r>
              <a:rPr lang="en-US" sz="1400" b="1"/>
              <a:t>Energy Sales Price Sensitivity</a:t>
            </a:r>
          </a:p>
        </c:rich>
      </c:tx>
      <c:layout>
        <c:manualLayout>
          <c:xMode val="edge"/>
          <c:yMode val="edge"/>
          <c:x val="0.28727085665745045"/>
          <c:y val="6.5284560948868661E-4"/>
        </c:manualLayout>
      </c:layout>
      <c:overlay val="0"/>
      <c:spPr>
        <a:noFill/>
        <a:ln>
          <a:noFill/>
        </a:ln>
        <a:effectLst/>
      </c:spPr>
    </c:title>
    <c:autoTitleDeleted val="0"/>
    <c:plotArea>
      <c:layout>
        <c:manualLayout>
          <c:layoutTarget val="inner"/>
          <c:xMode val="edge"/>
          <c:yMode val="edge"/>
          <c:x val="7.2877549929770108E-2"/>
          <c:y val="0.10853777771449456"/>
          <c:w val="0.89894982873587215"/>
          <c:h val="0.64100515916523093"/>
        </c:manualLayout>
      </c:layout>
      <c:scatterChart>
        <c:scatterStyle val="lineMarker"/>
        <c:varyColors val="0"/>
        <c:ser>
          <c:idx val="0"/>
          <c:order val="0"/>
          <c:tx>
            <c:strRef>
              <c:f>SensitivityEnergySalesPrice!$C$1</c:f>
              <c:strCache>
                <c:ptCount val="1"/>
                <c:pt idx="0">
                  <c:v>Amortization [years]</c:v>
                </c:pt>
              </c:strCache>
            </c:strRef>
          </c:tx>
          <c:spPr>
            <a:ln w="19050" cap="rnd">
              <a:solidFill>
                <a:srgbClr val="1F82C0"/>
              </a:solidFill>
              <a:round/>
            </a:ln>
            <a:effectLst/>
          </c:spPr>
          <c:marker>
            <c:symbol val="circle"/>
            <c:size val="5"/>
            <c:spPr>
              <a:solidFill>
                <a:schemeClr val="accent1"/>
              </a:solidFill>
              <a:ln w="9525">
                <a:solidFill>
                  <a:srgbClr val="1F82C0"/>
                </a:solidFill>
              </a:ln>
              <a:effectLst/>
            </c:spPr>
          </c:marker>
          <c:dLbls>
            <c:numFmt formatCode="#,##0" sourceLinked="0"/>
            <c:spPr>
              <a:noFill/>
              <a:ln>
                <a:noFill/>
              </a:ln>
              <a:effectLst/>
            </c:spPr>
            <c:txPr>
              <a:bodyPr rot="0" spcFirstLastPara="1" vertOverflow="ellipsis" vert="horz" wrap="square" anchor="ctr" anchorCtr="1"/>
              <a:lstStyle/>
              <a:p>
                <a:pPr>
                  <a:defRPr sz="1100" b="1" i="0" u="none" strike="noStrike" kern="1200" baseline="0">
                    <a:solidFill>
                      <a:srgbClr val="1F82C0"/>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SensitivityEnergySalesPrice!$A$2:$A$27</c:f>
              <c:numCache>
                <c:formatCode>General</c:formatCode>
                <c:ptCount val="26"/>
                <c:pt idx="0">
                  <c:v>0.05</c:v>
                </c:pt>
                <c:pt idx="1">
                  <c:v>0.06</c:v>
                </c:pt>
                <c:pt idx="2">
                  <c:v>7.0000000000000007E-2</c:v>
                </c:pt>
                <c:pt idx="3">
                  <c:v>0.08</c:v>
                </c:pt>
                <c:pt idx="4">
                  <c:v>0.09</c:v>
                </c:pt>
                <c:pt idx="5">
                  <c:v>0.1</c:v>
                </c:pt>
                <c:pt idx="6">
                  <c:v>0.11</c:v>
                </c:pt>
                <c:pt idx="7">
                  <c:v>0.12</c:v>
                </c:pt>
                <c:pt idx="8">
                  <c:v>0.13</c:v>
                </c:pt>
                <c:pt idx="9">
                  <c:v>0.14000000000000001</c:v>
                </c:pt>
                <c:pt idx="10">
                  <c:v>0.15</c:v>
                </c:pt>
                <c:pt idx="11">
                  <c:v>0.16</c:v>
                </c:pt>
                <c:pt idx="12">
                  <c:v>0.17</c:v>
                </c:pt>
                <c:pt idx="13">
                  <c:v>0.18</c:v>
                </c:pt>
                <c:pt idx="14">
                  <c:v>0.19</c:v>
                </c:pt>
                <c:pt idx="15">
                  <c:v>0.2</c:v>
                </c:pt>
                <c:pt idx="16">
                  <c:v>0.21</c:v>
                </c:pt>
                <c:pt idx="17">
                  <c:v>0.22</c:v>
                </c:pt>
                <c:pt idx="18">
                  <c:v>0.23</c:v>
                </c:pt>
                <c:pt idx="19">
                  <c:v>0.24</c:v>
                </c:pt>
                <c:pt idx="20">
                  <c:v>0.25</c:v>
                </c:pt>
                <c:pt idx="21">
                  <c:v>0.26</c:v>
                </c:pt>
                <c:pt idx="22">
                  <c:v>0.27</c:v>
                </c:pt>
                <c:pt idx="23">
                  <c:v>0.28000000000000003</c:v>
                </c:pt>
                <c:pt idx="24">
                  <c:v>0.28999999999999998</c:v>
                </c:pt>
                <c:pt idx="25">
                  <c:v>0.3</c:v>
                </c:pt>
              </c:numCache>
            </c:numRef>
          </c:xVal>
          <c:yVal>
            <c:numRef>
              <c:f>SensitivityEnergySalesPrice!$C$2:$C$27</c:f>
              <c:numCache>
                <c:formatCode>General</c:formatCode>
                <c:ptCount val="26"/>
                <c:pt idx="10">
                  <c:v>17.760930494527333</c:v>
                </c:pt>
                <c:pt idx="11">
                  <c:v>16.348603548105181</c:v>
                </c:pt>
                <c:pt idx="12">
                  <c:v>15.151694818719577</c:v>
                </c:pt>
                <c:pt idx="13">
                  <c:v>14.123531348579199</c:v>
                </c:pt>
                <c:pt idx="14">
                  <c:v>13.229911141952796</c:v>
                </c:pt>
                <c:pt idx="15">
                  <c:v>12.445197212882951</c:v>
                </c:pt>
                <c:pt idx="16">
                  <c:v>11.749793188630859</c:v>
                </c:pt>
                <c:pt idx="17">
                  <c:v>11.129262264168364</c:v>
                </c:pt>
                <c:pt idx="18">
                  <c:v>10.572587462091741</c:v>
                </c:pt>
                <c:pt idx="19">
                  <c:v>10.068858273621304</c:v>
                </c:pt>
                <c:pt idx="20">
                  <c:v>9.6124841167342456</c:v>
                </c:pt>
                <c:pt idx="21">
                  <c:v>9.1955150201483402</c:v>
                </c:pt>
                <c:pt idx="22">
                  <c:v>8.8137638599213339</c:v>
                </c:pt>
                <c:pt idx="23">
                  <c:v>8.4630180053711843</c:v>
                </c:pt>
                <c:pt idx="24">
                  <c:v>8.1388039554869991</c:v>
                </c:pt>
                <c:pt idx="25">
                  <c:v>7.8390449542675391</c:v>
                </c:pt>
              </c:numCache>
            </c:numRef>
          </c:yVal>
          <c:smooth val="0"/>
          <c:extLst>
            <c:ext xmlns:c16="http://schemas.microsoft.com/office/drawing/2014/chart" uri="{C3380CC4-5D6E-409C-BE32-E72D297353CC}">
              <c16:uniqueId val="{00000000-856F-4CD3-AB29-382FC9FE79A9}"/>
            </c:ext>
          </c:extLst>
        </c:ser>
        <c:ser>
          <c:idx val="1"/>
          <c:order val="1"/>
          <c:tx>
            <c:strRef>
              <c:f>SensitivityEnergySalesPrice!$E$1</c:f>
              <c:strCache>
                <c:ptCount val="1"/>
                <c:pt idx="0">
                  <c:v>IRR [%]</c:v>
                </c:pt>
              </c:strCache>
            </c:strRef>
          </c:tx>
          <c:spPr>
            <a:ln w="19050" cap="rnd">
              <a:solidFill>
                <a:srgbClr val="F29400"/>
              </a:solidFill>
              <a:round/>
            </a:ln>
            <a:effectLst/>
          </c:spPr>
          <c:marker>
            <c:symbol val="circle"/>
            <c:size val="5"/>
            <c:spPr>
              <a:solidFill>
                <a:schemeClr val="accent2"/>
              </a:solidFill>
              <a:ln w="9525">
                <a:solidFill>
                  <a:srgbClr val="F29400"/>
                </a:solidFill>
              </a:ln>
              <a:effectLst/>
            </c:spPr>
          </c:marker>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F29400"/>
                    </a:solidFill>
                    <a:latin typeface="Frutiger 45 Light" panose="020B0300000000000000" pitchFamily="34" charset="0"/>
                    <a:ea typeface="+mn-ea"/>
                    <a:cs typeface="+mn-cs"/>
                  </a:defRPr>
                </a:pPr>
                <a:endParaRPr lang="de-DE"/>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SensitivityEnergySalesPrice!$A$2:$A$27</c:f>
              <c:numCache>
                <c:formatCode>General</c:formatCode>
                <c:ptCount val="26"/>
                <c:pt idx="0">
                  <c:v>0.05</c:v>
                </c:pt>
                <c:pt idx="1">
                  <c:v>0.06</c:v>
                </c:pt>
                <c:pt idx="2">
                  <c:v>7.0000000000000007E-2</c:v>
                </c:pt>
                <c:pt idx="3">
                  <c:v>0.08</c:v>
                </c:pt>
                <c:pt idx="4">
                  <c:v>0.09</c:v>
                </c:pt>
                <c:pt idx="5">
                  <c:v>0.1</c:v>
                </c:pt>
                <c:pt idx="6">
                  <c:v>0.11</c:v>
                </c:pt>
                <c:pt idx="7">
                  <c:v>0.12</c:v>
                </c:pt>
                <c:pt idx="8">
                  <c:v>0.13</c:v>
                </c:pt>
                <c:pt idx="9">
                  <c:v>0.14000000000000001</c:v>
                </c:pt>
                <c:pt idx="10">
                  <c:v>0.15</c:v>
                </c:pt>
                <c:pt idx="11">
                  <c:v>0.16</c:v>
                </c:pt>
                <c:pt idx="12">
                  <c:v>0.17</c:v>
                </c:pt>
                <c:pt idx="13">
                  <c:v>0.18</c:v>
                </c:pt>
                <c:pt idx="14">
                  <c:v>0.19</c:v>
                </c:pt>
                <c:pt idx="15">
                  <c:v>0.2</c:v>
                </c:pt>
                <c:pt idx="16">
                  <c:v>0.21</c:v>
                </c:pt>
                <c:pt idx="17">
                  <c:v>0.22</c:v>
                </c:pt>
                <c:pt idx="18">
                  <c:v>0.23</c:v>
                </c:pt>
                <c:pt idx="19">
                  <c:v>0.24</c:v>
                </c:pt>
                <c:pt idx="20">
                  <c:v>0.25</c:v>
                </c:pt>
                <c:pt idx="21">
                  <c:v>0.26</c:v>
                </c:pt>
                <c:pt idx="22">
                  <c:v>0.27</c:v>
                </c:pt>
                <c:pt idx="23">
                  <c:v>0.28000000000000003</c:v>
                </c:pt>
                <c:pt idx="24">
                  <c:v>0.28999999999999998</c:v>
                </c:pt>
                <c:pt idx="25">
                  <c:v>0.3</c:v>
                </c:pt>
              </c:numCache>
            </c:numRef>
          </c:xVal>
          <c:yVal>
            <c:numRef>
              <c:f>SensitivityEnergySalesPrice!$E$2:$E$27</c:f>
              <c:numCache>
                <c:formatCode>General</c:formatCode>
                <c:ptCount val="26"/>
                <c:pt idx="0">
                  <c:v>-17.405931498324144</c:v>
                </c:pt>
                <c:pt idx="1">
                  <c:v>-14.143745779578797</c:v>
                </c:pt>
                <c:pt idx="2">
                  <c:v>-11.654599767941232</c:v>
                </c:pt>
                <c:pt idx="3">
                  <c:v>-9.5960879177085285</c:v>
                </c:pt>
                <c:pt idx="4">
                  <c:v>-7.8129085299846075</c:v>
                </c:pt>
                <c:pt idx="5">
                  <c:v>-6.2208543241988767</c:v>
                </c:pt>
                <c:pt idx="6">
                  <c:v>-4.7689159889910293</c:v>
                </c:pt>
                <c:pt idx="7">
                  <c:v>-3.423747010067868</c:v>
                </c:pt>
                <c:pt idx="8">
                  <c:v>-2.162294554788291</c:v>
                </c:pt>
                <c:pt idx="9">
                  <c:v>-0.96792438416842819</c:v>
                </c:pt>
                <c:pt idx="10">
                  <c:v>0.17178037930623002</c:v>
                </c:pt>
                <c:pt idx="11">
                  <c:v>1.266347185585448</c:v>
                </c:pt>
                <c:pt idx="12">
                  <c:v>2.3232548055694524</c:v>
                </c:pt>
                <c:pt idx="13">
                  <c:v>3.3484871810664396</c:v>
                </c:pt>
                <c:pt idx="14">
                  <c:v>4.3469105988170664</c:v>
                </c:pt>
                <c:pt idx="15">
                  <c:v>5.3225378979476101</c:v>
                </c:pt>
                <c:pt idx="16">
                  <c:v>6.2787180929793074</c:v>
                </c:pt>
                <c:pt idx="17">
                  <c:v>7.218275373362526</c:v>
                </c:pt>
                <c:pt idx="18">
                  <c:v>8.1436128984244007</c:v>
                </c:pt>
                <c:pt idx="19">
                  <c:v>9.0567916015433134</c:v>
                </c:pt>
                <c:pt idx="20">
                  <c:v>9.9595908916574558</c:v>
                </c:pt>
                <c:pt idx="21">
                  <c:v>10.85355605116467</c:v>
                </c:pt>
                <c:pt idx="22">
                  <c:v>11.740035691053796</c:v>
                </c:pt>
                <c:pt idx="23">
                  <c:v>12.620211676671445</c:v>
                </c:pt>
                <c:pt idx="24">
                  <c:v>13.495123295383937</c:v>
                </c:pt>
                <c:pt idx="25">
                  <c:v>14.365686959475754</c:v>
                </c:pt>
              </c:numCache>
            </c:numRef>
          </c:yVal>
          <c:smooth val="0"/>
          <c:extLst>
            <c:ext xmlns:c16="http://schemas.microsoft.com/office/drawing/2014/chart" uri="{C3380CC4-5D6E-409C-BE32-E72D297353CC}">
              <c16:uniqueId val="{00000001-856F-4CD3-AB29-382FC9FE79A9}"/>
            </c:ext>
          </c:extLst>
        </c:ser>
        <c:ser>
          <c:idx val="2"/>
          <c:order val="2"/>
          <c:tx>
            <c:strRef>
              <c:f>SensitivityEnergySalesPrice!$F$1</c:f>
              <c:strCache>
                <c:ptCount val="1"/>
                <c:pt idx="0">
                  <c:v>LCOE [€/MWh]</c:v>
                </c:pt>
              </c:strCache>
            </c:strRef>
          </c:tx>
          <c:spPr>
            <a:ln w="19050" cap="rnd">
              <a:solidFill>
                <a:srgbClr val="179C7D"/>
              </a:solidFill>
              <a:round/>
            </a:ln>
            <a:effectLst/>
          </c:spPr>
          <c:marker>
            <c:symbol val="circle"/>
            <c:size val="5"/>
            <c:spPr>
              <a:solidFill>
                <a:srgbClr val="009999"/>
              </a:solidFill>
              <a:ln w="9525">
                <a:solidFill>
                  <a:srgbClr val="179C7D"/>
                </a:solidFill>
              </a:ln>
              <a:effectLst/>
            </c:spPr>
          </c:marker>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179C7D"/>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SensitivityEnergySalesPrice!$A$2:$A$27</c:f>
              <c:numCache>
                <c:formatCode>General</c:formatCode>
                <c:ptCount val="26"/>
                <c:pt idx="0">
                  <c:v>0.05</c:v>
                </c:pt>
                <c:pt idx="1">
                  <c:v>0.06</c:v>
                </c:pt>
                <c:pt idx="2">
                  <c:v>7.0000000000000007E-2</c:v>
                </c:pt>
                <c:pt idx="3">
                  <c:v>0.08</c:v>
                </c:pt>
                <c:pt idx="4">
                  <c:v>0.09</c:v>
                </c:pt>
                <c:pt idx="5">
                  <c:v>0.1</c:v>
                </c:pt>
                <c:pt idx="6">
                  <c:v>0.11</c:v>
                </c:pt>
                <c:pt idx="7">
                  <c:v>0.12</c:v>
                </c:pt>
                <c:pt idx="8">
                  <c:v>0.13</c:v>
                </c:pt>
                <c:pt idx="9">
                  <c:v>0.14000000000000001</c:v>
                </c:pt>
                <c:pt idx="10">
                  <c:v>0.15</c:v>
                </c:pt>
                <c:pt idx="11">
                  <c:v>0.16</c:v>
                </c:pt>
                <c:pt idx="12">
                  <c:v>0.17</c:v>
                </c:pt>
                <c:pt idx="13">
                  <c:v>0.18</c:v>
                </c:pt>
                <c:pt idx="14">
                  <c:v>0.19</c:v>
                </c:pt>
                <c:pt idx="15">
                  <c:v>0.2</c:v>
                </c:pt>
                <c:pt idx="16">
                  <c:v>0.21</c:v>
                </c:pt>
                <c:pt idx="17">
                  <c:v>0.22</c:v>
                </c:pt>
                <c:pt idx="18">
                  <c:v>0.23</c:v>
                </c:pt>
                <c:pt idx="19">
                  <c:v>0.24</c:v>
                </c:pt>
                <c:pt idx="20">
                  <c:v>0.25</c:v>
                </c:pt>
                <c:pt idx="21">
                  <c:v>0.26</c:v>
                </c:pt>
                <c:pt idx="22">
                  <c:v>0.27</c:v>
                </c:pt>
                <c:pt idx="23">
                  <c:v>0.28000000000000003</c:v>
                </c:pt>
                <c:pt idx="24">
                  <c:v>0.28999999999999998</c:v>
                </c:pt>
                <c:pt idx="25">
                  <c:v>0.3</c:v>
                </c:pt>
              </c:numCache>
            </c:numRef>
          </c:xVal>
          <c:yVal>
            <c:numRef>
              <c:f>SensitivityEnergySalesPrice!$F$2:$F$27</c:f>
              <c:numCache>
                <c:formatCode>_-* #,##0.00\ [$€-407]_-;\-* #,##0.00\ [$€-407]_-;_-* "-"??\ [$€-407]_-;_-@_-</c:formatCode>
                <c:ptCount val="26"/>
                <c:pt idx="0">
                  <c:v>167.66239572523176</c:v>
                </c:pt>
                <c:pt idx="1">
                  <c:v>157.66239572523176</c:v>
                </c:pt>
                <c:pt idx="2">
                  <c:v>147.6623957252317</c:v>
                </c:pt>
                <c:pt idx="3">
                  <c:v>137.66239572523176</c:v>
                </c:pt>
                <c:pt idx="4">
                  <c:v>127.66239572523175</c:v>
                </c:pt>
                <c:pt idx="5">
                  <c:v>117.66239572523173</c:v>
                </c:pt>
                <c:pt idx="6">
                  <c:v>107.66239572523175</c:v>
                </c:pt>
                <c:pt idx="7">
                  <c:v>97.662395725231747</c:v>
                </c:pt>
                <c:pt idx="8">
                  <c:v>87.662395725231733</c:v>
                </c:pt>
                <c:pt idx="9">
                  <c:v>77.662395725231718</c:v>
                </c:pt>
                <c:pt idx="10">
                  <c:v>67.662395725231718</c:v>
                </c:pt>
                <c:pt idx="11">
                  <c:v>57.662395725231704</c:v>
                </c:pt>
                <c:pt idx="12">
                  <c:v>47.662395725231704</c:v>
                </c:pt>
                <c:pt idx="13">
                  <c:v>37.662395725231725</c:v>
                </c:pt>
                <c:pt idx="14">
                  <c:v>27.662395725231708</c:v>
                </c:pt>
                <c:pt idx="15">
                  <c:v>17.662395725231704</c:v>
                </c:pt>
                <c:pt idx="16">
                  <c:v>7.6623957252317068</c:v>
                </c:pt>
                <c:pt idx="17">
                  <c:v>-2.3376042747682941</c:v>
                </c:pt>
                <c:pt idx="18">
                  <c:v>-12.33760427476831</c:v>
                </c:pt>
                <c:pt idx="19">
                  <c:v>-22.337604274768282</c:v>
                </c:pt>
                <c:pt idx="20">
                  <c:v>-32.337604274768296</c:v>
                </c:pt>
                <c:pt idx="21">
                  <c:v>-42.33760427476831</c:v>
                </c:pt>
                <c:pt idx="22">
                  <c:v>-52.337604274768331</c:v>
                </c:pt>
                <c:pt idx="23">
                  <c:v>-62.337604274768346</c:v>
                </c:pt>
                <c:pt idx="24">
                  <c:v>-72.337604274768339</c:v>
                </c:pt>
                <c:pt idx="25">
                  <c:v>-82.33760427476831</c:v>
                </c:pt>
              </c:numCache>
            </c:numRef>
          </c:yVal>
          <c:smooth val="0"/>
          <c:extLst>
            <c:ext xmlns:c16="http://schemas.microsoft.com/office/drawing/2014/chart" uri="{C3380CC4-5D6E-409C-BE32-E72D297353CC}">
              <c16:uniqueId val="{00000002-856F-4CD3-AB29-382FC9FE79A9}"/>
            </c:ext>
          </c:extLst>
        </c:ser>
        <c:dLbls>
          <c:showLegendKey val="0"/>
          <c:showVal val="0"/>
          <c:showCatName val="0"/>
          <c:showSerName val="0"/>
          <c:showPercent val="0"/>
          <c:showBubbleSize val="0"/>
        </c:dLbls>
        <c:axId val="1082147359"/>
        <c:axId val="1082149439"/>
      </c:scatterChart>
      <c:valAx>
        <c:axId val="1082147359"/>
        <c:scaling>
          <c:orientation val="minMax"/>
          <c:max val="0.30000000000000004"/>
          <c:min val="5.000000000000001E-2"/>
        </c:scaling>
        <c:delete val="0"/>
        <c:axPos val="b"/>
        <c:title>
          <c:tx>
            <c:rich>
              <a:bodyPr rot="0" spcFirstLastPara="1" vertOverflow="ellipsis" vert="horz" wrap="square" anchor="ctr" anchorCtr="1"/>
              <a:lstStyle/>
              <a:p>
                <a:pPr>
                  <a:defRPr sz="1100" b="1" i="0" u="none" strike="noStrike" kern="1200" baseline="0">
                    <a:solidFill>
                      <a:schemeClr val="tx1">
                        <a:lumMod val="65000"/>
                        <a:lumOff val="35000"/>
                      </a:schemeClr>
                    </a:solidFill>
                    <a:latin typeface="Frutiger 45 Light" panose="020B0300000000000000" pitchFamily="34" charset="0"/>
                    <a:ea typeface="+mn-ea"/>
                    <a:cs typeface="+mn-cs"/>
                  </a:defRPr>
                </a:pPr>
                <a:r>
                  <a:rPr lang="en-US" b="1"/>
                  <a:t>Energy Sales Price</a:t>
                </a:r>
                <a:r>
                  <a:rPr lang="en-US" b="1" baseline="0"/>
                  <a:t> €/</a:t>
                </a:r>
                <a:r>
                  <a:rPr lang="en-US" b="1"/>
                  <a:t>kWh</a:t>
                </a:r>
              </a:p>
            </c:rich>
          </c:tx>
          <c:layout>
            <c:manualLayout>
              <c:xMode val="edge"/>
              <c:yMode val="edge"/>
              <c:x val="0.37482394112500644"/>
              <c:y val="0.87413523198241661"/>
            </c:manualLayout>
          </c:layout>
          <c:overlay val="0"/>
          <c:spPr>
            <a:noFill/>
            <a:ln>
              <a:noFill/>
            </a:ln>
            <a:effectLst/>
          </c:spPr>
        </c:title>
        <c:numFmt formatCode="#,##0.00_ ;\-#,##0.00\ " sourceLinked="0"/>
        <c:majorTickMark val="none"/>
        <c:minorTickMark val="none"/>
        <c:tickLblPos val="low"/>
        <c:spPr>
          <a:noFill/>
          <a:ln w="9525" cap="flat" cmpd="sng" algn="ctr">
            <a:solidFill>
              <a:schemeClr val="tx1">
                <a:lumMod val="25000"/>
                <a:lumOff val="7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9439"/>
        <c:crosses val="autoZero"/>
        <c:crossBetween val="midCat"/>
      </c:valAx>
      <c:valAx>
        <c:axId val="1082149439"/>
        <c:scaling>
          <c:orientation val="minMax"/>
        </c:scaling>
        <c:delete val="0"/>
        <c:axPos val="l"/>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7359"/>
        <c:crosses val="autoZero"/>
        <c:crossBetween val="midCat"/>
      </c:valAx>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legend>
    <c:plotVisOnly val="1"/>
    <c:dispBlanksAs val="gap"/>
    <c:showDLblsOverMax val="0"/>
  </c:chart>
  <c:spPr>
    <a:solidFill>
      <a:schemeClr val="bg1"/>
    </a:solidFill>
    <a:ln w="9525" cap="flat" cmpd="sng" algn="ctr">
      <a:noFill/>
      <a:round/>
    </a:ln>
    <a:effectLst/>
  </c:spPr>
  <c:txPr>
    <a:bodyPr/>
    <a:lstStyle/>
    <a:p>
      <a:pPr>
        <a:defRPr sz="1100">
          <a:latin typeface="Frutiger 45 Light" panose="020B0300000000000000" pitchFamily="34" charset="0"/>
        </a:defRPr>
      </a:pPr>
      <a:endParaRPr lang="de-D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r>
              <a:rPr lang="en-US" sz="1400" b="1"/>
              <a:t>Specific Yield Sensitivity</a:t>
            </a:r>
          </a:p>
        </c:rich>
      </c:tx>
      <c:layout>
        <c:manualLayout>
          <c:xMode val="edge"/>
          <c:yMode val="edge"/>
          <c:x val="0.28727085665745045"/>
          <c:y val="6.5284560948868661E-4"/>
        </c:manualLayout>
      </c:layout>
      <c:overlay val="0"/>
      <c:spPr>
        <a:noFill/>
        <a:ln>
          <a:noFill/>
        </a:ln>
        <a:effectLst/>
      </c:spPr>
    </c:title>
    <c:autoTitleDeleted val="0"/>
    <c:plotArea>
      <c:layout>
        <c:manualLayout>
          <c:layoutTarget val="inner"/>
          <c:xMode val="edge"/>
          <c:yMode val="edge"/>
          <c:x val="7.2877549929770108E-2"/>
          <c:y val="0.10853777771449456"/>
          <c:w val="0.89894982873587215"/>
          <c:h val="0.64100515916523093"/>
        </c:manualLayout>
      </c:layout>
      <c:scatterChart>
        <c:scatterStyle val="lineMarker"/>
        <c:varyColors val="0"/>
        <c:ser>
          <c:idx val="0"/>
          <c:order val="0"/>
          <c:tx>
            <c:strRef>
              <c:f>SensitivitySpecificYield!$C$1</c:f>
              <c:strCache>
                <c:ptCount val="1"/>
                <c:pt idx="0">
                  <c:v>Amortization [years]</c:v>
                </c:pt>
              </c:strCache>
            </c:strRef>
          </c:tx>
          <c:spPr>
            <a:ln w="19050" cap="rnd">
              <a:solidFill>
                <a:srgbClr val="1F82C0"/>
              </a:solidFill>
              <a:round/>
            </a:ln>
            <a:effectLst/>
          </c:spPr>
          <c:marker>
            <c:symbol val="circle"/>
            <c:size val="5"/>
            <c:spPr>
              <a:solidFill>
                <a:schemeClr val="accent1"/>
              </a:solidFill>
              <a:ln w="9525">
                <a:solidFill>
                  <a:srgbClr val="1F82C0"/>
                </a:solidFill>
              </a:ln>
              <a:effectLst/>
            </c:spPr>
          </c:marker>
          <c:dLbls>
            <c:numFmt formatCode="#,##0" sourceLinked="0"/>
            <c:spPr>
              <a:noFill/>
              <a:ln>
                <a:noFill/>
              </a:ln>
              <a:effectLst/>
            </c:spPr>
            <c:txPr>
              <a:bodyPr rot="0" spcFirstLastPara="1" vertOverflow="ellipsis" vert="horz" wrap="square" anchor="ctr" anchorCtr="1"/>
              <a:lstStyle/>
              <a:p>
                <a:pPr>
                  <a:defRPr sz="1100" b="1" i="0" u="none" strike="noStrike" kern="1200" baseline="0">
                    <a:solidFill>
                      <a:srgbClr val="1F82C0"/>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SensitivitySpecificYield!$A$2:$A$8</c:f>
              <c:numCache>
                <c:formatCode>General</c:formatCode>
                <c:ptCount val="7"/>
                <c:pt idx="0">
                  <c:v>1200</c:v>
                </c:pt>
                <c:pt idx="1">
                  <c:v>1300</c:v>
                </c:pt>
                <c:pt idx="2">
                  <c:v>1400</c:v>
                </c:pt>
                <c:pt idx="3">
                  <c:v>1500</c:v>
                </c:pt>
                <c:pt idx="4">
                  <c:v>1600</c:v>
                </c:pt>
                <c:pt idx="5">
                  <c:v>1700</c:v>
                </c:pt>
                <c:pt idx="6">
                  <c:v>1800</c:v>
                </c:pt>
              </c:numCache>
            </c:numRef>
          </c:xVal>
          <c:yVal>
            <c:numRef>
              <c:f>SensitivitySpecificYield!$C$2:$C$8</c:f>
              <c:numCache>
                <c:formatCode>General</c:formatCode>
                <c:ptCount val="7"/>
              </c:numCache>
            </c:numRef>
          </c:yVal>
          <c:smooth val="0"/>
          <c:extLst>
            <c:ext xmlns:c16="http://schemas.microsoft.com/office/drawing/2014/chart" uri="{C3380CC4-5D6E-409C-BE32-E72D297353CC}">
              <c16:uniqueId val="{00000004-ACF7-4E58-A349-8846C32AFC44}"/>
            </c:ext>
          </c:extLst>
        </c:ser>
        <c:ser>
          <c:idx val="1"/>
          <c:order val="1"/>
          <c:tx>
            <c:strRef>
              <c:f>SensitivitySpecificYield!$E$1</c:f>
              <c:strCache>
                <c:ptCount val="1"/>
                <c:pt idx="0">
                  <c:v>IRR [%]</c:v>
                </c:pt>
              </c:strCache>
            </c:strRef>
          </c:tx>
          <c:spPr>
            <a:ln w="19050" cap="rnd">
              <a:solidFill>
                <a:srgbClr val="F29400"/>
              </a:solidFill>
              <a:round/>
            </a:ln>
            <a:effectLst/>
          </c:spPr>
          <c:marker>
            <c:symbol val="circle"/>
            <c:size val="5"/>
            <c:spPr>
              <a:solidFill>
                <a:schemeClr val="accent2"/>
              </a:solidFill>
              <a:ln w="9525">
                <a:solidFill>
                  <a:srgbClr val="F29400"/>
                </a:solidFill>
              </a:ln>
              <a:effectLst/>
            </c:spPr>
          </c:marker>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F29400"/>
                    </a:solidFill>
                    <a:latin typeface="Frutiger 45 Light" panose="020B0300000000000000" pitchFamily="34" charset="0"/>
                    <a:ea typeface="+mn-ea"/>
                    <a:cs typeface="+mn-cs"/>
                  </a:defRPr>
                </a:pPr>
                <a:endParaRPr lang="de-DE"/>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SensitivitySpecificYield!$A$2:$A$8</c:f>
              <c:numCache>
                <c:formatCode>General</c:formatCode>
                <c:ptCount val="7"/>
                <c:pt idx="0">
                  <c:v>1200</c:v>
                </c:pt>
                <c:pt idx="1">
                  <c:v>1300</c:v>
                </c:pt>
                <c:pt idx="2">
                  <c:v>1400</c:v>
                </c:pt>
                <c:pt idx="3">
                  <c:v>1500</c:v>
                </c:pt>
                <c:pt idx="4">
                  <c:v>1600</c:v>
                </c:pt>
                <c:pt idx="5">
                  <c:v>1700</c:v>
                </c:pt>
                <c:pt idx="6">
                  <c:v>1800</c:v>
                </c:pt>
              </c:numCache>
            </c:numRef>
          </c:xVal>
          <c:yVal>
            <c:numRef>
              <c:f>SensitivitySpecificYield!$E$2:$E$8</c:f>
              <c:numCache>
                <c:formatCode>General</c:formatCode>
                <c:ptCount val="7"/>
                <c:pt idx="0">
                  <c:v>-12.129585653113729</c:v>
                </c:pt>
                <c:pt idx="1">
                  <c:v>-10.878477068925719</c:v>
                </c:pt>
                <c:pt idx="2">
                  <c:v>-9.7414863786370312</c:v>
                </c:pt>
                <c:pt idx="3">
                  <c:v>-8.6942078670807952</c:v>
                </c:pt>
                <c:pt idx="4">
                  <c:v>-7.7192859682447263</c:v>
                </c:pt>
                <c:pt idx="5">
                  <c:v>-6.803919901735056</c:v>
                </c:pt>
                <c:pt idx="6">
                  <c:v>-5.9383865803912421</c:v>
                </c:pt>
              </c:numCache>
            </c:numRef>
          </c:yVal>
          <c:smooth val="0"/>
          <c:extLst>
            <c:ext xmlns:c16="http://schemas.microsoft.com/office/drawing/2014/chart" uri="{C3380CC4-5D6E-409C-BE32-E72D297353CC}">
              <c16:uniqueId val="{00000006-ACF7-4E58-A349-8846C32AFC44}"/>
            </c:ext>
          </c:extLst>
        </c:ser>
        <c:ser>
          <c:idx val="2"/>
          <c:order val="2"/>
          <c:tx>
            <c:strRef>
              <c:f>SensitivitySpecificYield!$F$1</c:f>
              <c:strCache>
                <c:ptCount val="1"/>
                <c:pt idx="0">
                  <c:v>LCOE [€/MWh]</c:v>
                </c:pt>
              </c:strCache>
            </c:strRef>
          </c:tx>
          <c:spPr>
            <a:ln w="19050" cap="rnd">
              <a:solidFill>
                <a:srgbClr val="179C7D"/>
              </a:solidFill>
              <a:round/>
            </a:ln>
            <a:effectLst/>
          </c:spPr>
          <c:marker>
            <c:symbol val="circle"/>
            <c:size val="5"/>
            <c:spPr>
              <a:solidFill>
                <a:srgbClr val="009999"/>
              </a:solidFill>
              <a:ln w="9525">
                <a:solidFill>
                  <a:srgbClr val="179C7D"/>
                </a:solidFill>
              </a:ln>
              <a:effectLst/>
            </c:spPr>
          </c:marker>
          <c:dLbls>
            <c:numFmt formatCode="#,##0\ &quot;€&quot;"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179C7D"/>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SensitivitySpecificYield!$A$2:$A$8</c:f>
              <c:numCache>
                <c:formatCode>General</c:formatCode>
                <c:ptCount val="7"/>
                <c:pt idx="0">
                  <c:v>1200</c:v>
                </c:pt>
                <c:pt idx="1">
                  <c:v>1300</c:v>
                </c:pt>
                <c:pt idx="2">
                  <c:v>1400</c:v>
                </c:pt>
                <c:pt idx="3">
                  <c:v>1500</c:v>
                </c:pt>
                <c:pt idx="4">
                  <c:v>1600</c:v>
                </c:pt>
                <c:pt idx="5">
                  <c:v>1700</c:v>
                </c:pt>
                <c:pt idx="6">
                  <c:v>1800</c:v>
                </c:pt>
              </c:numCache>
            </c:numRef>
          </c:xVal>
          <c:yVal>
            <c:numRef>
              <c:f>SensitivitySpecificYield!$F$2:$F$8</c:f>
              <c:numCache>
                <c:formatCode>_-* #,##0.00\ [$€-407]_-;\-* #,##0.00\ [$€-407]_-;_-* "-"??\ [$€-407]_-;_-@_-</c:formatCode>
                <c:ptCount val="7"/>
                <c:pt idx="0">
                  <c:v>187.17799465653965</c:v>
                </c:pt>
                <c:pt idx="1">
                  <c:v>166.24891814449811</c:v>
                </c:pt>
                <c:pt idx="2">
                  <c:v>148.30970970560543</c:v>
                </c:pt>
                <c:pt idx="3">
                  <c:v>132.76239572523173</c:v>
                </c:pt>
                <c:pt idx="4">
                  <c:v>119.15849599240472</c:v>
                </c:pt>
                <c:pt idx="5">
                  <c:v>107.15505505167502</c:v>
                </c:pt>
                <c:pt idx="6">
                  <c:v>96.485329771026429</c:v>
                </c:pt>
              </c:numCache>
            </c:numRef>
          </c:yVal>
          <c:smooth val="0"/>
          <c:extLst>
            <c:ext xmlns:c16="http://schemas.microsoft.com/office/drawing/2014/chart" uri="{C3380CC4-5D6E-409C-BE32-E72D297353CC}">
              <c16:uniqueId val="{00000008-ACF7-4E58-A349-8846C32AFC44}"/>
            </c:ext>
          </c:extLst>
        </c:ser>
        <c:dLbls>
          <c:showLegendKey val="0"/>
          <c:showVal val="0"/>
          <c:showCatName val="0"/>
          <c:showSerName val="0"/>
          <c:showPercent val="0"/>
          <c:showBubbleSize val="0"/>
        </c:dLbls>
        <c:axId val="1082147359"/>
        <c:axId val="1082149439"/>
      </c:scatterChart>
      <c:valAx>
        <c:axId val="1082147359"/>
        <c:scaling>
          <c:orientation val="minMax"/>
          <c:min val="1000"/>
        </c:scaling>
        <c:delete val="0"/>
        <c:axPos val="b"/>
        <c:title>
          <c:tx>
            <c:rich>
              <a:bodyPr rot="0" spcFirstLastPara="1" vertOverflow="ellipsis" vert="horz" wrap="square" anchor="ctr" anchorCtr="1"/>
              <a:lstStyle/>
              <a:p>
                <a:pPr>
                  <a:defRPr sz="1100" b="1" i="0" u="none" strike="noStrike" kern="1200" baseline="0">
                    <a:solidFill>
                      <a:schemeClr val="tx1">
                        <a:lumMod val="65000"/>
                        <a:lumOff val="35000"/>
                      </a:schemeClr>
                    </a:solidFill>
                    <a:latin typeface="Frutiger 45 Light" panose="020B0300000000000000" pitchFamily="34" charset="0"/>
                    <a:ea typeface="+mn-ea"/>
                    <a:cs typeface="+mn-cs"/>
                  </a:defRPr>
                </a:pPr>
                <a:r>
                  <a:rPr lang="en-US" b="1"/>
                  <a:t>Specific Yield [kWh/kWp]</a:t>
                </a:r>
              </a:p>
            </c:rich>
          </c:tx>
          <c:layout>
            <c:manualLayout>
              <c:xMode val="edge"/>
              <c:yMode val="edge"/>
              <c:x val="0.37482394112500644"/>
              <c:y val="0.87413523198241661"/>
            </c:manualLayout>
          </c:layout>
          <c:overlay val="0"/>
          <c:spPr>
            <a:noFill/>
            <a:ln>
              <a:noFill/>
            </a:ln>
            <a:effectLst/>
          </c:spPr>
        </c:title>
        <c:numFmt formatCode="#,##0_ ;\-#,##0\ " sourceLinked="0"/>
        <c:majorTickMark val="none"/>
        <c:minorTickMark val="none"/>
        <c:tickLblPos val="low"/>
        <c:spPr>
          <a:noFill/>
          <a:ln w="9525" cap="flat" cmpd="sng" algn="ctr">
            <a:solidFill>
              <a:schemeClr val="tx1">
                <a:lumMod val="25000"/>
                <a:lumOff val="7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9439"/>
        <c:crosses val="autoZero"/>
        <c:crossBetween val="midCat"/>
        <c:majorUnit val="200"/>
      </c:valAx>
      <c:valAx>
        <c:axId val="1082149439"/>
        <c:scaling>
          <c:orientation val="minMax"/>
        </c:scaling>
        <c:delete val="0"/>
        <c:axPos val="l"/>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7359"/>
        <c:crosses val="autoZero"/>
        <c:crossBetween val="midCat"/>
      </c:valAx>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legend>
    <c:plotVisOnly val="1"/>
    <c:dispBlanksAs val="gap"/>
    <c:showDLblsOverMax val="0"/>
  </c:chart>
  <c:spPr>
    <a:solidFill>
      <a:schemeClr val="bg1"/>
    </a:solidFill>
    <a:ln w="9525" cap="flat" cmpd="sng" algn="ctr">
      <a:noFill/>
      <a:round/>
    </a:ln>
    <a:effectLst/>
  </c:spPr>
  <c:txPr>
    <a:bodyPr/>
    <a:lstStyle/>
    <a:p>
      <a:pPr>
        <a:defRPr sz="1100">
          <a:latin typeface="Frutiger 45 Light" panose="020B0300000000000000" pitchFamily="34" charset="0"/>
        </a:defRPr>
      </a:pPr>
      <a:endParaRPr lang="de-D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Frutiger 45 Light" panose="020B0300000000000000" pitchFamily="34" charset="0"/>
                <a:ea typeface="+mn-ea"/>
                <a:cs typeface="+mn-cs"/>
              </a:defRPr>
            </a:pPr>
            <a:r>
              <a:rPr lang="en-US" sz="1400" b="1"/>
              <a:t>Debt Interest Rate </a:t>
            </a:r>
            <a:r>
              <a:rPr lang="en-GB" sz="1400" b="1" i="0" u="none" strike="noStrike" baseline="0">
                <a:effectLst/>
              </a:rPr>
              <a:t>Sensitivity </a:t>
            </a:r>
            <a:endParaRPr lang="en-US" sz="1400" b="1"/>
          </a:p>
        </c:rich>
      </c:tx>
      <c:layout>
        <c:manualLayout>
          <c:xMode val="edge"/>
          <c:yMode val="edge"/>
          <c:x val="0.28726760824837955"/>
          <c:y val="6.8124401488172583E-3"/>
        </c:manualLayout>
      </c:layout>
      <c:overlay val="0"/>
      <c:spPr>
        <a:noFill/>
        <a:ln>
          <a:noFill/>
        </a:ln>
        <a:effectLst/>
      </c:spPr>
    </c:title>
    <c:autoTitleDeleted val="0"/>
    <c:plotArea>
      <c:layout>
        <c:manualLayout>
          <c:layoutTarget val="inner"/>
          <c:xMode val="edge"/>
          <c:yMode val="edge"/>
          <c:x val="9.0844494385735886E-2"/>
          <c:y val="9.648228063292795E-2"/>
          <c:w val="0.84038414400718275"/>
          <c:h val="0.6779017141144601"/>
        </c:manualLayout>
      </c:layout>
      <c:scatterChart>
        <c:scatterStyle val="lineMarker"/>
        <c:varyColors val="0"/>
        <c:ser>
          <c:idx val="2"/>
          <c:order val="0"/>
          <c:tx>
            <c:strRef>
              <c:f>SensitivityDebtInterest!$F$1</c:f>
              <c:strCache>
                <c:ptCount val="1"/>
                <c:pt idx="0">
                  <c:v>LCOE [€/MWh]</c:v>
                </c:pt>
              </c:strCache>
            </c:strRef>
          </c:tx>
          <c:spPr>
            <a:ln w="19050" cap="rnd">
              <a:solidFill>
                <a:srgbClr val="179C7D"/>
              </a:solidFill>
              <a:round/>
            </a:ln>
            <a:effectLst/>
          </c:spPr>
          <c:marker>
            <c:symbol val="circle"/>
            <c:size val="5"/>
            <c:spPr>
              <a:solidFill>
                <a:srgbClr val="009999"/>
              </a:solidFill>
              <a:ln w="9525">
                <a:solidFill>
                  <a:srgbClr val="179C7D"/>
                </a:solidFill>
              </a:ln>
              <a:effectLst/>
            </c:spPr>
          </c:marker>
          <c:dLbls>
            <c:numFmt formatCode="#,##0\ &quot;€&quot;" sourceLinked="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rgbClr val="179C7D"/>
                    </a:solidFill>
                    <a:latin typeface="Frutiger 45 Light" panose="020B0300000000000000" pitchFamily="34" charset="0"/>
                    <a:ea typeface="+mn-ea"/>
                    <a:cs typeface="+mn-cs"/>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SensitivityDebtInterest!$A$2:$A$10</c:f>
              <c:numCache>
                <c:formatCode>0%</c:formatCode>
                <c:ptCount val="9"/>
                <c:pt idx="0">
                  <c:v>0</c:v>
                </c:pt>
                <c:pt idx="1">
                  <c:v>0.02</c:v>
                </c:pt>
                <c:pt idx="2">
                  <c:v>0.04</c:v>
                </c:pt>
                <c:pt idx="3">
                  <c:v>0.06</c:v>
                </c:pt>
                <c:pt idx="4">
                  <c:v>0.08</c:v>
                </c:pt>
                <c:pt idx="5">
                  <c:v>0.1</c:v>
                </c:pt>
                <c:pt idx="6">
                  <c:v>0.12</c:v>
                </c:pt>
                <c:pt idx="7">
                  <c:v>0.14000000000000001</c:v>
                </c:pt>
                <c:pt idx="8">
                  <c:v>0.16</c:v>
                </c:pt>
              </c:numCache>
            </c:numRef>
          </c:xVal>
          <c:yVal>
            <c:numRef>
              <c:f>SensitivityDebtInterest!$F$2:$F$10</c:f>
              <c:numCache>
                <c:formatCode>_-* #,##0.00\ [$€-407]_-;\-* #,##0.00\ [$€-407]_-;_-* "-"??\ [$€-407]_-;_-@_-</c:formatCode>
                <c:ptCount val="9"/>
                <c:pt idx="0">
                  <c:v>114.91795808587541</c:v>
                </c:pt>
                <c:pt idx="1">
                  <c:v>119.74678890419099</c:v>
                </c:pt>
                <c:pt idx="2">
                  <c:v>124.79223342497846</c:v>
                </c:pt>
                <c:pt idx="3">
                  <c:v>130.0524931944409</c:v>
                </c:pt>
                <c:pt idx="4">
                  <c:v>135.52496489270564</c:v>
                </c:pt>
                <c:pt idx="5">
                  <c:v>141.20627844132264</c:v>
                </c:pt>
                <c:pt idx="6">
                  <c:v>147.09234451912536</c:v>
                </c:pt>
                <c:pt idx="7">
                  <c:v>153.17841022810708</c:v>
                </c:pt>
                <c:pt idx="8">
                  <c:v>159.45912149143896</c:v>
                </c:pt>
              </c:numCache>
            </c:numRef>
          </c:yVal>
          <c:smooth val="0"/>
          <c:extLst>
            <c:ext xmlns:c16="http://schemas.microsoft.com/office/drawing/2014/chart" uri="{C3380CC4-5D6E-409C-BE32-E72D297353CC}">
              <c16:uniqueId val="{00000002-711C-46A4-A7C4-3230D3D8C159}"/>
            </c:ext>
          </c:extLst>
        </c:ser>
        <c:ser>
          <c:idx val="0"/>
          <c:order val="1"/>
          <c:tx>
            <c:strRef>
              <c:f>SensitivityDebtInterest!$C$1</c:f>
              <c:strCache>
                <c:ptCount val="1"/>
                <c:pt idx="0">
                  <c:v>Amortization [years]</c:v>
                </c:pt>
              </c:strCache>
            </c:strRef>
          </c:tx>
          <c:dLbls>
            <c:numFmt formatCode="#,##0" sourceLinked="0"/>
            <c:spPr>
              <a:noFill/>
              <a:ln>
                <a:noFill/>
              </a:ln>
              <a:effectLst/>
            </c:spPr>
            <c:txPr>
              <a:bodyPr wrap="square" lIns="38100" tIns="19050" rIns="38100" bIns="19050" anchor="t" anchorCtr="0">
                <a:spAutoFit/>
              </a:bodyPr>
              <a:lstStyle/>
              <a:p>
                <a:pPr>
                  <a:defRPr b="1">
                    <a:solidFill>
                      <a:srgbClr val="1F82C0"/>
                    </a:solidFill>
                  </a:defRPr>
                </a:pPr>
                <a:endParaRPr lang="de-DE"/>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xVal>
            <c:numRef>
              <c:f>SensitivityDebtInterest!$A$2:$A$10</c:f>
              <c:numCache>
                <c:formatCode>0%</c:formatCode>
                <c:ptCount val="9"/>
                <c:pt idx="0">
                  <c:v>0</c:v>
                </c:pt>
                <c:pt idx="1">
                  <c:v>0.02</c:v>
                </c:pt>
                <c:pt idx="2">
                  <c:v>0.04</c:v>
                </c:pt>
                <c:pt idx="3">
                  <c:v>0.06</c:v>
                </c:pt>
                <c:pt idx="4">
                  <c:v>0.08</c:v>
                </c:pt>
                <c:pt idx="5">
                  <c:v>0.1</c:v>
                </c:pt>
                <c:pt idx="6">
                  <c:v>0.12</c:v>
                </c:pt>
                <c:pt idx="7">
                  <c:v>0.14000000000000001</c:v>
                </c:pt>
                <c:pt idx="8">
                  <c:v>0.16</c:v>
                </c:pt>
              </c:numCache>
            </c:numRef>
          </c:xVal>
          <c:yVal>
            <c:numRef>
              <c:f>SensitivityDebtInterest!$C$2:$C$10</c:f>
              <c:numCache>
                <c:formatCode>General</c:formatCode>
                <c:ptCount val="9"/>
              </c:numCache>
            </c:numRef>
          </c:yVal>
          <c:smooth val="0"/>
          <c:extLst>
            <c:ext xmlns:c16="http://schemas.microsoft.com/office/drawing/2014/chart" uri="{C3380CC4-5D6E-409C-BE32-E72D297353CC}">
              <c16:uniqueId val="{00000000-C006-424F-869E-C88170554A10}"/>
            </c:ext>
          </c:extLst>
        </c:ser>
        <c:ser>
          <c:idx val="1"/>
          <c:order val="2"/>
          <c:tx>
            <c:strRef>
              <c:f>SensitivityDebtInterest!$E$1</c:f>
              <c:strCache>
                <c:ptCount val="1"/>
                <c:pt idx="0">
                  <c:v>IRR [%]</c:v>
                </c:pt>
              </c:strCache>
            </c:strRef>
          </c:tx>
          <c:dLbls>
            <c:numFmt formatCode="#,##0" sourceLinked="0"/>
            <c:spPr>
              <a:noFill/>
              <a:ln>
                <a:noFill/>
              </a:ln>
              <a:effectLst/>
            </c:spPr>
            <c:txPr>
              <a:bodyPr wrap="square" lIns="38100" tIns="19050" rIns="38100" bIns="19050" anchor="ctr">
                <a:spAutoFit/>
              </a:bodyPr>
              <a:lstStyle/>
              <a:p>
                <a:pPr>
                  <a:defRPr b="1">
                    <a:solidFill>
                      <a:srgbClr val="F29400"/>
                    </a:solidFill>
                  </a:defRPr>
                </a:pPr>
                <a:endParaRPr lang="de-DE"/>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xVal>
            <c:numRef>
              <c:f>SensitivityDebtInterest!$A$2:$A$10</c:f>
              <c:numCache>
                <c:formatCode>0%</c:formatCode>
                <c:ptCount val="9"/>
                <c:pt idx="0">
                  <c:v>0</c:v>
                </c:pt>
                <c:pt idx="1">
                  <c:v>0.02</c:v>
                </c:pt>
                <c:pt idx="2">
                  <c:v>0.04</c:v>
                </c:pt>
                <c:pt idx="3">
                  <c:v>0.06</c:v>
                </c:pt>
                <c:pt idx="4">
                  <c:v>0.08</c:v>
                </c:pt>
                <c:pt idx="5">
                  <c:v>0.1</c:v>
                </c:pt>
                <c:pt idx="6">
                  <c:v>0.12</c:v>
                </c:pt>
                <c:pt idx="7">
                  <c:v>0.14000000000000001</c:v>
                </c:pt>
                <c:pt idx="8">
                  <c:v>0.16</c:v>
                </c:pt>
              </c:numCache>
            </c:numRef>
          </c:xVal>
          <c:yVal>
            <c:numRef>
              <c:f>SensitivityDebtInterest!$E$2:$E$10</c:f>
              <c:numCache>
                <c:formatCode>General</c:formatCode>
                <c:ptCount val="9"/>
                <c:pt idx="0">
                  <c:v>-7.3213111955537258</c:v>
                </c:pt>
                <c:pt idx="1">
                  <c:v>-7.7094660065033738</c:v>
                </c:pt>
                <c:pt idx="2">
                  <c:v>-8.1015161699551808</c:v>
                </c:pt>
                <c:pt idx="3">
                  <c:v>-8.4962296622534854</c:v>
                </c:pt>
                <c:pt idx="4">
                  <c:v>-8.8924043917389834</c:v>
                </c:pt>
                <c:pt idx="5">
                  <c:v>-9.2888847033790185</c:v>
                </c:pt>
                <c:pt idx="6">
                  <c:v>-9.6845754947655465</c:v>
                </c:pt>
                <c:pt idx="7">
                  <c:v>-10.078453680663157</c:v>
                </c:pt>
                <c:pt idx="8">
                  <c:v>-10.469576898526856</c:v>
                </c:pt>
              </c:numCache>
            </c:numRef>
          </c:yVal>
          <c:smooth val="0"/>
          <c:extLst>
            <c:ext xmlns:c16="http://schemas.microsoft.com/office/drawing/2014/chart" uri="{C3380CC4-5D6E-409C-BE32-E72D297353CC}">
              <c16:uniqueId val="{00000001-C006-424F-869E-C88170554A10}"/>
            </c:ext>
          </c:extLst>
        </c:ser>
        <c:dLbls>
          <c:showLegendKey val="0"/>
          <c:showVal val="0"/>
          <c:showCatName val="0"/>
          <c:showSerName val="0"/>
          <c:showPercent val="0"/>
          <c:showBubbleSize val="0"/>
        </c:dLbls>
        <c:axId val="1082147359"/>
        <c:axId val="1082149439"/>
      </c:scatterChart>
      <c:valAx>
        <c:axId val="1082147359"/>
        <c:scaling>
          <c:orientation val="minMax"/>
        </c:scaling>
        <c:delete val="0"/>
        <c:axPos val="b"/>
        <c:title>
          <c:tx>
            <c:rich>
              <a:bodyPr rot="0" spcFirstLastPara="1" vertOverflow="ellipsis" vert="horz" wrap="square" anchor="ctr" anchorCtr="1"/>
              <a:lstStyle/>
              <a:p>
                <a:pPr>
                  <a:defRPr sz="1100" b="1" i="0" u="none" strike="noStrike" kern="1200" baseline="0">
                    <a:solidFill>
                      <a:schemeClr val="tx1">
                        <a:lumMod val="65000"/>
                        <a:lumOff val="35000"/>
                      </a:schemeClr>
                    </a:solidFill>
                    <a:latin typeface="Frutiger 45 Light" panose="020B0300000000000000" pitchFamily="34" charset="0"/>
                    <a:ea typeface="+mn-ea"/>
                    <a:cs typeface="+mn-cs"/>
                  </a:defRPr>
                </a:pPr>
                <a:r>
                  <a:rPr lang="en-US" b="1"/>
                  <a:t>Debt Interest Rate [%]</a:t>
                </a:r>
              </a:p>
            </c:rich>
          </c:tx>
          <c:layout>
            <c:manualLayout>
              <c:xMode val="edge"/>
              <c:yMode val="edge"/>
              <c:x val="0.38529585569976643"/>
              <c:y val="0.86894036773503236"/>
            </c:manualLayout>
          </c:layout>
          <c:overlay val="0"/>
          <c:spPr>
            <a:noFill/>
            <a:ln>
              <a:noFill/>
            </a:ln>
            <a:effectLst/>
          </c:spPr>
        </c:title>
        <c:numFmt formatCode="0%" sourceLinked="0"/>
        <c:majorTickMark val="none"/>
        <c:minorTickMark val="none"/>
        <c:tickLblPos val="low"/>
        <c:spPr>
          <a:noFill/>
          <a:ln w="9525" cap="flat" cmpd="sng" algn="ctr">
            <a:solidFill>
              <a:schemeClr val="tx1">
                <a:lumMod val="25000"/>
                <a:lumOff val="7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9439"/>
        <c:crosses val="autoZero"/>
        <c:crossBetween val="midCat"/>
      </c:valAx>
      <c:valAx>
        <c:axId val="1082149439"/>
        <c:scaling>
          <c:orientation val="minMax"/>
        </c:scaling>
        <c:delete val="0"/>
        <c:axPos val="l"/>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crossAx val="1082147359"/>
        <c:crossesAt val="0"/>
        <c:crossBetween val="midCat"/>
      </c:valAx>
      <c:spPr>
        <a:noFill/>
        <a:ln w="25400">
          <a:noFill/>
        </a:ln>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Frutiger 45 Light" panose="020B0300000000000000" pitchFamily="34" charset="0"/>
              <a:ea typeface="+mn-ea"/>
              <a:cs typeface="+mn-cs"/>
            </a:defRPr>
          </a:pPr>
          <a:endParaRPr lang="de-DE"/>
        </a:p>
      </c:txPr>
    </c:legend>
    <c:plotVisOnly val="1"/>
    <c:dispBlanksAs val="gap"/>
    <c:showDLblsOverMax val="0"/>
  </c:chart>
  <c:spPr>
    <a:solidFill>
      <a:schemeClr val="bg1"/>
    </a:solidFill>
    <a:ln w="9525" cap="flat" cmpd="sng" algn="ctr">
      <a:noFill/>
      <a:round/>
    </a:ln>
    <a:effectLst/>
  </c:spPr>
  <c:txPr>
    <a:bodyPr/>
    <a:lstStyle/>
    <a:p>
      <a:pPr>
        <a:defRPr sz="1100">
          <a:latin typeface="Frutiger 45 Light" panose="020B0300000000000000" pitchFamily="34" charset="0"/>
        </a:defRPr>
      </a:pPr>
      <a:endParaRPr lang="de-D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AF8888EB-694F-FB42-8985-3245B21AE7A1}">
  <sheetPr codeName="Gráfico3"/>
  <sheetViews>
    <sheetView zoomScale="200" workbookViewId="0"/>
  </sheetViews>
  <sheetProtection algorithmName="SHA-512" hashValue="K3xoar4Qkmckru6bDZT9vNIgVBenSkR0vQtTJzE7BW5xzoaA8wqN8PIUpaS1dsVMp1ZvOZZrHuVGQGwlMzueVg==" saltValue="oNElgGvpgRxhXvMMWSyi/g==" spinCount="100000" content="1" objects="1"/>
  <pageMargins left="0.78740157480314965" right="0.78740157480314965" top="0.78740157480314965" bottom="6.6929133858267722" header="0.51181102362204722" footer="0.51181102362204722"/>
  <pageSetup paperSize="9" orientation="portrait" r:id="rId1"/>
  <headerFooter alignWithMargins="0">
    <oddHeader>&amp;F</oddHeader>
    <oddFooter>&amp;A</oddFooter>
  </headerFooter>
  <drawing r:id="rId2"/>
</chartsheet>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editAs="oneCell">
    <xdr:from>
      <xdr:col>4</xdr:col>
      <xdr:colOff>58511</xdr:colOff>
      <xdr:row>7</xdr:row>
      <xdr:rowOff>2994</xdr:rowOff>
    </xdr:from>
    <xdr:to>
      <xdr:col>5</xdr:col>
      <xdr:colOff>816</xdr:colOff>
      <xdr:row>10</xdr:row>
      <xdr:rowOff>170133</xdr:rowOff>
    </xdr:to>
    <xdr:pic>
      <xdr:nvPicPr>
        <xdr:cNvPr id="6" name="Grafik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87511" y="1384119"/>
          <a:ext cx="791935" cy="7791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7500938" cy="4676775"/>
    <xdr:graphicFrame macro="">
      <xdr:nvGraphicFramePr>
        <xdr:cNvPr id="2" name="Gráfico 1">
          <a:extLst>
            <a:ext uri="{FF2B5EF4-FFF2-40B4-BE49-F238E27FC236}">
              <a16:creationId xmlns:a16="http://schemas.microsoft.com/office/drawing/2014/main" id="{00000000-0008-0000-02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twoCellAnchor editAs="oneCell">
    <xdr:from>
      <xdr:col>5</xdr:col>
      <xdr:colOff>148169</xdr:colOff>
      <xdr:row>11</xdr:row>
      <xdr:rowOff>137584</xdr:rowOff>
    </xdr:from>
    <xdr:to>
      <xdr:col>7</xdr:col>
      <xdr:colOff>455083</xdr:colOff>
      <xdr:row>17</xdr:row>
      <xdr:rowOff>721153</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614336" y="2021417"/>
          <a:ext cx="1957914" cy="1663070"/>
        </a:xfrm>
        <a:prstGeom prst="rect">
          <a:avLst/>
        </a:prstGeom>
      </xdr:spPr>
    </xdr:pic>
    <xdr:clientData/>
  </xdr:twoCellAnchor>
  <xdr:twoCellAnchor editAs="oneCell">
    <xdr:from>
      <xdr:col>5</xdr:col>
      <xdr:colOff>84667</xdr:colOff>
      <xdr:row>22</xdr:row>
      <xdr:rowOff>116417</xdr:rowOff>
    </xdr:from>
    <xdr:to>
      <xdr:col>8</xdr:col>
      <xdr:colOff>92710</xdr:colOff>
      <xdr:row>25</xdr:row>
      <xdr:rowOff>1573</xdr:rowOff>
    </xdr:to>
    <xdr:pic>
      <xdr:nvPicPr>
        <xdr:cNvPr id="5" name="Imagen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550834" y="4794250"/>
          <a:ext cx="2480733" cy="4819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584200</xdr:colOff>
      <xdr:row>48</xdr:row>
      <xdr:rowOff>128260</xdr:rowOff>
    </xdr:from>
    <xdr:to>
      <xdr:col>5</xdr:col>
      <xdr:colOff>1083837</xdr:colOff>
      <xdr:row>57</xdr:row>
      <xdr:rowOff>174890</xdr:rowOff>
    </xdr:to>
    <xdr:pic>
      <xdr:nvPicPr>
        <xdr:cNvPr id="2" name="Imagen 1">
          <a:extLst>
            <a:ext uri="{FF2B5EF4-FFF2-40B4-BE49-F238E27FC236}">
              <a16:creationId xmlns:a16="http://schemas.microsoft.com/office/drawing/2014/main" id="{00000000-0008-0000-05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56157"/>
        <a:stretch/>
      </xdr:blipFill>
      <xdr:spPr>
        <a:xfrm>
          <a:off x="6870700" y="9801427"/>
          <a:ext cx="2506133" cy="195417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17</xdr:col>
      <xdr:colOff>20954</xdr:colOff>
      <xdr:row>5</xdr:row>
      <xdr:rowOff>17145</xdr:rowOff>
    </xdr:from>
    <xdr:to>
      <xdr:col>27</xdr:col>
      <xdr:colOff>0</xdr:colOff>
      <xdr:row>29</xdr:row>
      <xdr:rowOff>106680</xdr:rowOff>
    </xdr:to>
    <xdr:graphicFrame macro="">
      <xdr:nvGraphicFramePr>
        <xdr:cNvPr id="2" name="Chart 3">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0</xdr:colOff>
      <xdr:row>31</xdr:row>
      <xdr:rowOff>0</xdr:rowOff>
    </xdr:from>
    <xdr:to>
      <xdr:col>26</xdr:col>
      <xdr:colOff>588646</xdr:colOff>
      <xdr:row>57</xdr:row>
      <xdr:rowOff>95250</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7</xdr:col>
      <xdr:colOff>5715</xdr:colOff>
      <xdr:row>4</xdr:row>
      <xdr:rowOff>24765</xdr:rowOff>
    </xdr:from>
    <xdr:to>
      <xdr:col>15</xdr:col>
      <xdr:colOff>87630</xdr:colOff>
      <xdr:row>28</xdr:row>
      <xdr:rowOff>22860</xdr:rowOff>
    </xdr:to>
    <xdr:graphicFrame macro="">
      <xdr:nvGraphicFramePr>
        <xdr:cNvPr id="3" name="Chart 3">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7</xdr:col>
      <xdr:colOff>15240</xdr:colOff>
      <xdr:row>3</xdr:row>
      <xdr:rowOff>190501</xdr:rowOff>
    </xdr:from>
    <xdr:to>
      <xdr:col>14</xdr:col>
      <xdr:colOff>588645</xdr:colOff>
      <xdr:row>32</xdr:row>
      <xdr:rowOff>0</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7</xdr:col>
      <xdr:colOff>5715</xdr:colOff>
      <xdr:row>5</xdr:row>
      <xdr:rowOff>9525</xdr:rowOff>
    </xdr:from>
    <xdr:to>
      <xdr:col>14</xdr:col>
      <xdr:colOff>588645</xdr:colOff>
      <xdr:row>26</xdr:row>
      <xdr:rowOff>17145</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7</xdr:col>
      <xdr:colOff>30479</xdr:colOff>
      <xdr:row>3</xdr:row>
      <xdr:rowOff>74294</xdr:rowOff>
    </xdr:from>
    <xdr:to>
      <xdr:col>15</xdr:col>
      <xdr:colOff>600074</xdr:colOff>
      <xdr:row>26</xdr:row>
      <xdr:rowOff>47624</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se.fraunhofer.de/content/dam/ise/en/documents/publications/studies/APV-Guideline.pdf" TargetMode="External"/><Relationship Id="rId2" Type="http://schemas.openxmlformats.org/officeDocument/2006/relationships/hyperlink" Target="mailto:warmuth@pse-projects.de" TargetMode="External"/><Relationship Id="rId1" Type="http://schemas.openxmlformats.org/officeDocument/2006/relationships/hyperlink" Target="http://www.pse-projects.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xe.com/de/currencyconverter/convert/?Amount=4.2&amp;From=MUR&amp;To=EUR" TargetMode="External"/><Relationship Id="rId1" Type="http://schemas.openxmlformats.org/officeDocument/2006/relationships/hyperlink" Target="https://re.jrc.ec.europa.eu/pvg_tools/en/"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8BD17-B3D7-784A-B39A-75BA73CDF546}">
  <sheetPr codeName="Hoja2"/>
  <dimension ref="B2:O41"/>
  <sheetViews>
    <sheetView showGridLines="0" zoomScale="110" zoomScaleNormal="110" workbookViewId="0">
      <selection activeCell="C19" sqref="C19"/>
    </sheetView>
  </sheetViews>
  <sheetFormatPr baseColWidth="10" defaultColWidth="11.19921875" defaultRowHeight="15.6"/>
  <sheetData>
    <row r="2" spans="2:14">
      <c r="B2" s="13" t="s">
        <v>57</v>
      </c>
      <c r="C2" s="13"/>
      <c r="D2" s="13"/>
      <c r="E2" t="s">
        <v>254</v>
      </c>
    </row>
    <row r="3" spans="2:14">
      <c r="B3" s="13"/>
      <c r="C3" s="13"/>
      <c r="D3" s="13"/>
      <c r="E3" s="13"/>
    </row>
    <row r="4" spans="2:14">
      <c r="B4" s="13" t="s">
        <v>97</v>
      </c>
      <c r="C4" s="13"/>
      <c r="D4" s="13"/>
      <c r="E4" s="13"/>
    </row>
    <row r="5" spans="2:14">
      <c r="B5" t="s">
        <v>98</v>
      </c>
      <c r="C5" s="13"/>
      <c r="D5" s="13"/>
      <c r="E5" s="13"/>
    </row>
    <row r="6" spans="2:14">
      <c r="B6" s="100" t="s">
        <v>102</v>
      </c>
      <c r="C6" s="13"/>
      <c r="D6" s="13"/>
      <c r="E6" s="13"/>
    </row>
    <row r="7" spans="2:14" ht="16.2" thickBot="1">
      <c r="B7" s="100"/>
      <c r="C7" s="13"/>
      <c r="D7" s="13"/>
      <c r="E7" s="13"/>
    </row>
    <row r="8" spans="2:14" ht="16.2" thickTop="1">
      <c r="B8" s="106" t="s">
        <v>116</v>
      </c>
      <c r="C8" s="13" t="s">
        <v>117</v>
      </c>
      <c r="D8" s="13"/>
      <c r="E8" s="13"/>
      <c r="H8" s="277" t="s">
        <v>196</v>
      </c>
      <c r="I8" s="278"/>
      <c r="J8" s="278"/>
      <c r="K8" s="278"/>
      <c r="L8" s="278"/>
      <c r="M8" s="278"/>
      <c r="N8" s="279"/>
    </row>
    <row r="9" spans="2:14">
      <c r="B9" s="13"/>
      <c r="C9" s="105" t="s">
        <v>118</v>
      </c>
      <c r="D9" s="13"/>
      <c r="E9" s="13"/>
      <c r="H9" s="280"/>
      <c r="I9" s="281"/>
      <c r="J9" s="281"/>
      <c r="K9" s="281"/>
      <c r="L9" s="281"/>
      <c r="M9" s="281"/>
      <c r="N9" s="282"/>
    </row>
    <row r="10" spans="2:14">
      <c r="B10" s="13"/>
      <c r="C10" s="100" t="s">
        <v>119</v>
      </c>
      <c r="D10" s="13"/>
      <c r="E10" s="13"/>
      <c r="H10" s="280"/>
      <c r="I10" s="281"/>
      <c r="J10" s="281"/>
      <c r="K10" s="281"/>
      <c r="L10" s="281"/>
      <c r="M10" s="281"/>
      <c r="N10" s="282"/>
    </row>
    <row r="11" spans="2:14" ht="16.2" thickBot="1">
      <c r="B11" s="13"/>
      <c r="C11" s="105" t="s">
        <v>120</v>
      </c>
      <c r="D11" s="13"/>
      <c r="E11" s="13"/>
      <c r="H11" s="283"/>
      <c r="I11" s="284"/>
      <c r="J11" s="284"/>
      <c r="K11" s="284"/>
      <c r="L11" s="284"/>
      <c r="M11" s="284"/>
      <c r="N11" s="285"/>
    </row>
    <row r="12" spans="2:14" ht="16.2" thickTop="1">
      <c r="B12" s="13"/>
      <c r="D12" s="13"/>
      <c r="E12" s="13"/>
    </row>
    <row r="13" spans="2:14">
      <c r="B13" s="107" t="s">
        <v>58</v>
      </c>
    </row>
    <row r="15" spans="2:14">
      <c r="B15" s="61" t="s">
        <v>80</v>
      </c>
      <c r="C15" t="s">
        <v>100</v>
      </c>
    </row>
    <row r="16" spans="2:14">
      <c r="B16" s="61" t="s">
        <v>99</v>
      </c>
      <c r="C16" s="61" t="s">
        <v>103</v>
      </c>
    </row>
    <row r="17" spans="2:15">
      <c r="B17" s="61" t="s">
        <v>104</v>
      </c>
      <c r="C17" s="61" t="s">
        <v>105</v>
      </c>
    </row>
    <row r="18" spans="2:15">
      <c r="B18" s="61" t="s">
        <v>106</v>
      </c>
      <c r="C18" t="s">
        <v>121</v>
      </c>
    </row>
    <row r="19" spans="2:15">
      <c r="B19" s="61" t="s">
        <v>136</v>
      </c>
      <c r="C19" t="s">
        <v>185</v>
      </c>
    </row>
    <row r="20" spans="2:15">
      <c r="B20" s="61"/>
    </row>
    <row r="21" spans="2:15">
      <c r="B21" s="61"/>
    </row>
    <row r="26" spans="2:15">
      <c r="B26" s="107" t="s">
        <v>108</v>
      </c>
      <c r="E26" s="107" t="s">
        <v>186</v>
      </c>
    </row>
    <row r="27" spans="2:15">
      <c r="B27" s="286" t="s">
        <v>107</v>
      </c>
      <c r="C27" s="286"/>
      <c r="E27" s="51" t="s">
        <v>190</v>
      </c>
      <c r="F27" t="s">
        <v>187</v>
      </c>
    </row>
    <row r="28" spans="2:15" ht="16.2" thickBot="1">
      <c r="F28" t="s">
        <v>188</v>
      </c>
      <c r="G28" s="121" t="s">
        <v>189</v>
      </c>
      <c r="O28" t="s">
        <v>191</v>
      </c>
    </row>
    <row r="29" spans="2:15" ht="16.2" thickBot="1">
      <c r="B29" s="287" t="s">
        <v>65</v>
      </c>
      <c r="C29" s="288"/>
    </row>
    <row r="31" spans="2:15">
      <c r="B31" s="289" t="s">
        <v>109</v>
      </c>
      <c r="C31" s="289"/>
    </row>
    <row r="36" spans="2:10" hidden="1">
      <c r="B36" s="110" t="s">
        <v>133</v>
      </c>
    </row>
    <row r="37" spans="2:10" ht="76.2" hidden="1" customHeight="1">
      <c r="B37" s="120">
        <v>45314</v>
      </c>
      <c r="C37" s="290" t="s">
        <v>134</v>
      </c>
      <c r="D37" s="291"/>
      <c r="E37" s="291"/>
      <c r="F37" s="291"/>
      <c r="G37" s="291"/>
      <c r="H37" s="291"/>
      <c r="I37" s="291"/>
      <c r="J37" s="292"/>
    </row>
    <row r="38" spans="2:10" hidden="1">
      <c r="B38" s="153">
        <v>45323</v>
      </c>
      <c r="C38" s="271" t="s">
        <v>236</v>
      </c>
      <c r="D38" s="272"/>
      <c r="E38" s="272"/>
      <c r="F38" s="272"/>
      <c r="G38" s="272"/>
      <c r="H38" s="272"/>
      <c r="I38" s="272"/>
      <c r="J38" s="273"/>
    </row>
    <row r="39" spans="2:10" ht="33" hidden="1" customHeight="1">
      <c r="B39" s="120">
        <v>45330</v>
      </c>
      <c r="C39" s="274" t="s">
        <v>192</v>
      </c>
      <c r="D39" s="275"/>
      <c r="E39" s="275"/>
      <c r="F39" s="275"/>
      <c r="G39" s="275"/>
      <c r="H39" s="275"/>
      <c r="I39" s="275"/>
      <c r="J39" s="276"/>
    </row>
    <row r="40" spans="2:10" hidden="1">
      <c r="B40" s="153">
        <v>45344</v>
      </c>
      <c r="C40" s="271" t="s">
        <v>237</v>
      </c>
      <c r="D40" s="272"/>
      <c r="E40" s="272"/>
      <c r="F40" s="272"/>
      <c r="G40" s="272"/>
      <c r="H40" s="272"/>
      <c r="I40" s="272"/>
      <c r="J40" s="273"/>
    </row>
    <row r="41" spans="2:10" hidden="1">
      <c r="B41" s="153">
        <v>45345</v>
      </c>
      <c r="C41" s="271" t="s">
        <v>253</v>
      </c>
      <c r="D41" s="272"/>
      <c r="E41" s="272"/>
      <c r="F41" s="272"/>
      <c r="G41" s="272"/>
      <c r="H41" s="272"/>
      <c r="I41" s="272"/>
      <c r="J41" s="273"/>
    </row>
  </sheetData>
  <sheetProtection algorithmName="SHA-512" hashValue="PRCQfST64FafWh2RuUNWu/IxBCWUwiw7SjMjC9i17PezH1dRvnXb6tkOdcRU/BoIvJVrPQfU7FmeZQLn2Fqxug==" saltValue="fJS0TzZ2yu0/5eLGuUbCaQ==" spinCount="100000" sheet="1" objects="1" scenarios="1"/>
  <mergeCells count="9">
    <mergeCell ref="C41:J41"/>
    <mergeCell ref="C40:J40"/>
    <mergeCell ref="C39:J39"/>
    <mergeCell ref="H8:N11"/>
    <mergeCell ref="C38:J38"/>
    <mergeCell ref="B27:C27"/>
    <mergeCell ref="B29:C29"/>
    <mergeCell ref="B31:C31"/>
    <mergeCell ref="C37:J37"/>
  </mergeCells>
  <hyperlinks>
    <hyperlink ref="C9" r:id="rId1" xr:uid="{D45E2D4D-B24C-4D1B-9A5D-3C838A12F71D}"/>
    <hyperlink ref="C11" r:id="rId2" xr:uid="{4991E664-DBB6-43EA-9AD0-2622F779D7FF}"/>
    <hyperlink ref="G28" r:id="rId3" xr:uid="{99834E4F-984A-41F6-B9B2-B23A12BC1232}"/>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C8B97-C581-F242-AB1B-8FBBA261CB63}">
  <sheetPr codeName="Hoja1"/>
  <dimension ref="B2:R97"/>
  <sheetViews>
    <sheetView showGridLines="0" tabSelected="1" zoomScaleNormal="100" workbookViewId="0">
      <pane xSplit="4" topLeftCell="E1" activePane="topRight" state="frozen"/>
      <selection pane="topRight" activeCell="C8" sqref="C8"/>
    </sheetView>
  </sheetViews>
  <sheetFormatPr baseColWidth="10" defaultColWidth="11.19921875" defaultRowHeight="15.6"/>
  <cols>
    <col min="1" max="1" width="2.796875" customWidth="1"/>
    <col min="2" max="2" width="34.796875" customWidth="1"/>
    <col min="3" max="3" width="29.5" bestFit="1" customWidth="1"/>
    <col min="4" max="4" width="11.19921875" bestFit="1" customWidth="1"/>
    <col min="5" max="34" width="10.3984375" customWidth="1"/>
    <col min="35" max="35" width="10.796875" customWidth="1"/>
    <col min="36" max="36" width="16.09765625" customWidth="1"/>
  </cols>
  <sheetData>
    <row r="2" spans="2:7">
      <c r="B2" s="295" t="s">
        <v>59</v>
      </c>
      <c r="C2" s="295"/>
      <c r="D2" s="295"/>
    </row>
    <row r="4" spans="2:7" ht="16.2" thickBot="1">
      <c r="B4" s="296" t="s">
        <v>60</v>
      </c>
      <c r="C4" s="297"/>
      <c r="D4" s="298"/>
      <c r="F4" t="s">
        <v>110</v>
      </c>
    </row>
    <row r="5" spans="2:7" ht="4.95" customHeight="1"/>
    <row r="6" spans="2:7">
      <c r="B6" s="62" t="s">
        <v>43</v>
      </c>
      <c r="C6" s="198">
        <v>18</v>
      </c>
      <c r="D6" s="64" t="s">
        <v>33</v>
      </c>
      <c r="F6" s="99" t="s">
        <v>87</v>
      </c>
    </row>
    <row r="7" spans="2:7">
      <c r="B7" s="62" t="s">
        <v>53</v>
      </c>
      <c r="C7" s="199">
        <v>7.1408474576271183E-2</v>
      </c>
      <c r="D7" s="64" t="s">
        <v>3</v>
      </c>
      <c r="F7" s="99" t="s">
        <v>85</v>
      </c>
    </row>
    <row r="8" spans="2:7" ht="16.2" thickBot="1">
      <c r="B8" s="63" t="s">
        <v>129</v>
      </c>
      <c r="C8" s="200">
        <v>7.0000000000000007E-2</v>
      </c>
      <c r="D8" s="65" t="s">
        <v>3</v>
      </c>
      <c r="F8" s="99" t="s">
        <v>200</v>
      </c>
    </row>
    <row r="9" spans="2:7">
      <c r="F9" s="99"/>
    </row>
    <row r="10" spans="2:7" ht="16.2" thickBot="1">
      <c r="B10" s="296" t="s">
        <v>61</v>
      </c>
      <c r="C10" s="297"/>
      <c r="D10" s="298"/>
      <c r="F10" s="99"/>
    </row>
    <row r="11" spans="2:7" ht="4.95" customHeight="1">
      <c r="F11" s="99"/>
    </row>
    <row r="12" spans="2:7">
      <c r="B12" s="62" t="s">
        <v>16</v>
      </c>
      <c r="C12" s="201">
        <v>1500</v>
      </c>
      <c r="D12" s="64" t="s">
        <v>15</v>
      </c>
      <c r="F12" s="102" t="s">
        <v>113</v>
      </c>
      <c r="G12" s="99" t="s">
        <v>197</v>
      </c>
    </row>
    <row r="13" spans="2:7">
      <c r="B13" s="62" t="s">
        <v>17</v>
      </c>
      <c r="C13" s="201">
        <v>1</v>
      </c>
      <c r="D13" s="64" t="s">
        <v>18</v>
      </c>
      <c r="F13" s="99"/>
    </row>
    <row r="14" spans="2:7">
      <c r="B14" s="62" t="s">
        <v>19</v>
      </c>
      <c r="C14" s="29">
        <f>C12*C13</f>
        <v>1500</v>
      </c>
      <c r="D14" s="64" t="s">
        <v>1</v>
      </c>
      <c r="F14" s="99"/>
    </row>
    <row r="15" spans="2:7" ht="16.2" thickBot="1">
      <c r="B15" s="63" t="s">
        <v>2</v>
      </c>
      <c r="C15" s="202">
        <v>3.0000000000000001E-3</v>
      </c>
      <c r="D15" s="65" t="s">
        <v>3</v>
      </c>
      <c r="F15" s="99" t="s">
        <v>114</v>
      </c>
    </row>
    <row r="16" spans="2:7">
      <c r="F16" s="99"/>
    </row>
    <row r="17" spans="2:6" ht="16.2" thickBot="1">
      <c r="B17" s="296" t="s">
        <v>62</v>
      </c>
      <c r="C17" s="297"/>
      <c r="D17" s="298"/>
      <c r="F17" s="99"/>
    </row>
    <row r="18" spans="2:6" ht="4.95" customHeight="1">
      <c r="F18" s="99"/>
    </row>
    <row r="19" spans="2:6">
      <c r="B19" s="50" t="s">
        <v>21</v>
      </c>
      <c r="C19" s="32">
        <f>2%*C25</f>
        <v>32</v>
      </c>
      <c r="D19" s="31" t="s">
        <v>5</v>
      </c>
      <c r="F19" s="99" t="s">
        <v>115</v>
      </c>
    </row>
    <row r="20" spans="2:6" ht="16.2" thickBot="1">
      <c r="B20" s="5" t="s">
        <v>86</v>
      </c>
      <c r="C20" s="200">
        <v>0.02</v>
      </c>
      <c r="D20" s="9" t="s">
        <v>3</v>
      </c>
      <c r="F20" s="99" t="s">
        <v>88</v>
      </c>
    </row>
    <row r="21" spans="2:6">
      <c r="F21" s="99"/>
    </row>
    <row r="22" spans="2:6" ht="16.2" thickBot="1">
      <c r="B22" s="296" t="s">
        <v>63</v>
      </c>
      <c r="C22" s="297"/>
      <c r="D22" s="298"/>
      <c r="F22" s="99"/>
    </row>
    <row r="23" spans="2:6" ht="4.95" customHeight="1">
      <c r="F23" s="99"/>
    </row>
    <row r="24" spans="2:6">
      <c r="B24" s="299" t="s">
        <v>4</v>
      </c>
      <c r="C24" s="203">
        <v>1600</v>
      </c>
      <c r="D24" s="8" t="s">
        <v>20</v>
      </c>
      <c r="F24" s="99"/>
    </row>
    <row r="25" spans="2:6">
      <c r="B25" s="300"/>
      <c r="C25" s="32">
        <f>C24*C13</f>
        <v>1600</v>
      </c>
      <c r="D25" s="31" t="s">
        <v>5</v>
      </c>
      <c r="F25" s="99"/>
    </row>
    <row r="26" spans="2:6">
      <c r="B26" s="4" t="s">
        <v>46</v>
      </c>
      <c r="C26" s="199">
        <v>0.2</v>
      </c>
      <c r="D26" s="8" t="s">
        <v>3</v>
      </c>
      <c r="F26" s="99" t="s">
        <v>111</v>
      </c>
    </row>
    <row r="27" spans="2:6">
      <c r="B27" s="4" t="s">
        <v>47</v>
      </c>
      <c r="C27" s="52">
        <f>1-C26</f>
        <v>0.8</v>
      </c>
      <c r="D27" s="8" t="s">
        <v>3</v>
      </c>
      <c r="F27" s="99"/>
    </row>
    <row r="28" spans="2:6">
      <c r="B28" s="4" t="s">
        <v>48</v>
      </c>
      <c r="C28" s="199">
        <v>7.0000000000000007E-2</v>
      </c>
      <c r="D28" s="8" t="s">
        <v>3</v>
      </c>
      <c r="F28" s="99" t="s">
        <v>138</v>
      </c>
    </row>
    <row r="29" spans="2:6">
      <c r="B29" s="4" t="s">
        <v>49</v>
      </c>
      <c r="C29" s="199">
        <v>7.0000000000000007E-2</v>
      </c>
      <c r="D29" s="8" t="s">
        <v>3</v>
      </c>
      <c r="F29" s="99" t="s">
        <v>137</v>
      </c>
    </row>
    <row r="30" spans="2:6">
      <c r="B30" s="4" t="s">
        <v>50</v>
      </c>
      <c r="C30" s="199">
        <v>0.15</v>
      </c>
      <c r="D30" s="8" t="s">
        <v>3</v>
      </c>
      <c r="F30" s="99" t="s">
        <v>235</v>
      </c>
    </row>
    <row r="31" spans="2:6" ht="16.2" thickBot="1">
      <c r="B31" s="5" t="s">
        <v>51</v>
      </c>
      <c r="C31" s="54">
        <f>C26/C27</f>
        <v>0.25</v>
      </c>
      <c r="D31" s="9"/>
    </row>
    <row r="33" spans="2:12" ht="16.2" thickBot="1">
      <c r="B33" s="296" t="s">
        <v>64</v>
      </c>
      <c r="C33" s="297"/>
      <c r="D33" s="298"/>
    </row>
    <row r="34" spans="2:12" ht="4.05" customHeight="1"/>
    <row r="35" spans="2:12" ht="16.2" thickBot="1">
      <c r="B35" s="5" t="s">
        <v>29</v>
      </c>
      <c r="C35" s="204">
        <v>8.4900000000000003E-2</v>
      </c>
      <c r="D35" s="9" t="s">
        <v>30</v>
      </c>
      <c r="F35" s="99" t="s">
        <v>101</v>
      </c>
      <c r="L35" s="121" t="s">
        <v>135</v>
      </c>
    </row>
    <row r="36" spans="2:12">
      <c r="B36" s="2"/>
      <c r="C36" s="2"/>
      <c r="D36" s="2"/>
      <c r="F36" s="99"/>
    </row>
    <row r="37" spans="2:12" ht="16.2" thickBot="1">
      <c r="B37" s="5" t="s">
        <v>123</v>
      </c>
      <c r="C37" s="205">
        <v>0</v>
      </c>
      <c r="D37" s="9" t="s">
        <v>5</v>
      </c>
      <c r="F37" s="99" t="s">
        <v>127</v>
      </c>
    </row>
    <row r="38" spans="2:12">
      <c r="B38" s="2"/>
    </row>
    <row r="39" spans="2:12">
      <c r="B39" s="295" t="s">
        <v>65</v>
      </c>
      <c r="C39" s="295"/>
      <c r="D39" s="295"/>
    </row>
    <row r="40" spans="2:12" ht="4.95" customHeight="1">
      <c r="B40" s="2"/>
    </row>
    <row r="41" spans="2:12">
      <c r="B41" s="293" t="s">
        <v>13</v>
      </c>
      <c r="C41" s="293"/>
      <c r="D41" s="293"/>
    </row>
    <row r="42" spans="2:12" ht="4.95" customHeight="1"/>
    <row r="43" spans="2:12" ht="31.95" customHeight="1">
      <c r="B43" s="294" t="s">
        <v>77</v>
      </c>
      <c r="C43" s="294"/>
      <c r="D43" s="294"/>
    </row>
    <row r="44" spans="2:12" ht="24" customHeight="1">
      <c r="B44" s="294"/>
      <c r="C44" s="294"/>
      <c r="D44" s="294"/>
    </row>
    <row r="45" spans="2:12" ht="16.05" customHeight="1">
      <c r="B45" s="294"/>
      <c r="C45" s="294"/>
      <c r="D45" s="294"/>
    </row>
    <row r="46" spans="2:12" ht="27" customHeight="1">
      <c r="B46" s="294"/>
      <c r="C46" s="294"/>
      <c r="D46" s="294"/>
    </row>
    <row r="47" spans="2:12" ht="27" customHeight="1">
      <c r="B47" s="294" t="s">
        <v>75</v>
      </c>
      <c r="C47" s="294"/>
      <c r="D47" s="294"/>
    </row>
    <row r="48" spans="2:12" ht="27" customHeight="1">
      <c r="B48" s="294"/>
      <c r="C48" s="294"/>
      <c r="D48" s="294"/>
    </row>
    <row r="49" spans="2:18" ht="27" customHeight="1">
      <c r="B49" s="294"/>
      <c r="C49" s="294"/>
      <c r="D49" s="294"/>
    </row>
    <row r="50" spans="2:18">
      <c r="B50" s="66"/>
      <c r="C50" s="66"/>
      <c r="D50" s="66"/>
    </row>
    <row r="51" spans="2:18">
      <c r="B51" s="50" t="s">
        <v>76</v>
      </c>
      <c r="C51" s="117" t="s">
        <v>78</v>
      </c>
      <c r="D51" s="31"/>
      <c r="F51" s="99" t="s">
        <v>128</v>
      </c>
      <c r="H51" s="119"/>
      <c r="I51" s="119"/>
      <c r="J51" s="119"/>
      <c r="K51" s="119"/>
      <c r="L51" s="119"/>
      <c r="M51" s="119"/>
      <c r="N51" s="119"/>
      <c r="O51" s="119"/>
      <c r="P51" s="119"/>
      <c r="Q51" s="119"/>
      <c r="R51" s="119"/>
    </row>
    <row r="52" spans="2:18">
      <c r="B52" s="50"/>
      <c r="D52" s="31"/>
      <c r="H52" s="119"/>
      <c r="I52" s="119"/>
      <c r="J52" s="119"/>
      <c r="K52" s="119"/>
      <c r="L52" s="119"/>
      <c r="M52" s="119"/>
      <c r="N52" s="119"/>
      <c r="O52" s="119"/>
      <c r="P52" s="119"/>
      <c r="Q52" s="119"/>
      <c r="R52" s="119"/>
    </row>
    <row r="53" spans="2:18" ht="16.2" thickBot="1">
      <c r="B53" s="5" t="s">
        <v>13</v>
      </c>
      <c r="C53" s="104">
        <f>+Calculations!C60</f>
        <v>0.13276239572523174</v>
      </c>
      <c r="D53" s="9" t="s">
        <v>7</v>
      </c>
      <c r="E53" s="110" t="str">
        <f>CONCATENATE("With a project lifetime of ",C6," years, the levelised costs of electricity, taking into account an annual agricultural impact of ",IF(C37&gt;=0,"plus ","minus "),IF(C37&lt;0,-ROUND(C37,2),ROUND(C37,2))," ",D37,", are ",ROUND(C53,3)," EUR/kWh or ",ROUND(C53*1000,2)," EUR per MWh.")</f>
        <v>With a project lifetime of 18 years, the levelised costs of electricity, taking into account an annual agricultural impact of plus 0 EUR, are 0.133 EUR/kWh or 132.76 EUR per MWh.</v>
      </c>
    </row>
    <row r="54" spans="2:18">
      <c r="B54" s="66"/>
      <c r="C54" s="66"/>
      <c r="D54" s="66"/>
      <c r="F54" s="161"/>
    </row>
    <row r="55" spans="2:18">
      <c r="B55" s="293" t="s">
        <v>73</v>
      </c>
      <c r="C55" s="293"/>
      <c r="D55" s="293"/>
    </row>
    <row r="56" spans="2:18">
      <c r="B56" s="66"/>
      <c r="C56" s="66"/>
      <c r="D56" s="66"/>
    </row>
    <row r="57" spans="2:18" ht="18.600000000000001">
      <c r="B57" s="4" t="s">
        <v>56</v>
      </c>
      <c r="C57" s="49">
        <f>+WACC!C13</f>
        <v>6.1600000000000002E-2</v>
      </c>
      <c r="D57" s="8" t="s">
        <v>3</v>
      </c>
    </row>
    <row r="58" spans="2:18" ht="19.2" thickBot="1">
      <c r="B58" s="5" t="s">
        <v>55</v>
      </c>
      <c r="C58" s="53">
        <f>+WACC!C20</f>
        <v>-9.1547479873631543E-3</v>
      </c>
      <c r="D58" s="9" t="s">
        <v>3</v>
      </c>
    </row>
    <row r="59" spans="2:18" ht="4.95" customHeight="1">
      <c r="B59" s="66"/>
      <c r="C59" s="66"/>
      <c r="D59" s="66"/>
    </row>
    <row r="60" spans="2:18">
      <c r="B60" s="294" t="s">
        <v>74</v>
      </c>
      <c r="C60" s="294"/>
      <c r="D60" s="294"/>
    </row>
    <row r="61" spans="2:18">
      <c r="B61" s="294"/>
      <c r="C61" s="294"/>
      <c r="D61" s="294"/>
    </row>
    <row r="62" spans="2:18" ht="54" customHeight="1">
      <c r="B62" s="294"/>
      <c r="C62" s="294"/>
      <c r="D62" s="294"/>
    </row>
    <row r="63" spans="2:18" ht="9" customHeight="1">
      <c r="B63" s="294"/>
      <c r="C63" s="294"/>
      <c r="D63" s="294"/>
    </row>
    <row r="64" spans="2:18">
      <c r="B64" s="66"/>
      <c r="C64" s="66"/>
      <c r="D64" s="66"/>
    </row>
    <row r="65" spans="2:12">
      <c r="B65" s="293" t="s">
        <v>67</v>
      </c>
      <c r="C65" s="293"/>
      <c r="D65" s="293"/>
    </row>
    <row r="66" spans="2:12" ht="4.95" customHeight="1"/>
    <row r="67" spans="2:12" ht="16.2" thickBot="1">
      <c r="B67" s="5" t="s">
        <v>36</v>
      </c>
      <c r="C67" s="67" t="str">
        <f>IF(Calculations!$C$71=0,"n.a.",Calculations!$C$71)</f>
        <v>n.a.</v>
      </c>
      <c r="D67" s="9" t="s">
        <v>33</v>
      </c>
      <c r="E67" s="110" t="str">
        <f>IF(OR(ISERROR(C67),C67="n.a."),"With the given Input Parameters, no Payback can be calculated.",(CONCATENATE(ROUND(C67,2)," years are needed for payback of the PV system.")))</f>
        <v>With the given Input Parameters, no Payback can be calculated.</v>
      </c>
    </row>
    <row r="68" spans="2:12" ht="4.95" customHeight="1"/>
    <row r="69" spans="2:12">
      <c r="B69" s="301" t="s">
        <v>68</v>
      </c>
      <c r="C69" s="301"/>
      <c r="D69" s="301"/>
      <c r="F69" s="101"/>
    </row>
    <row r="70" spans="2:12">
      <c r="B70" s="301"/>
      <c r="C70" s="301"/>
      <c r="D70" s="301"/>
    </row>
    <row r="71" spans="2:12">
      <c r="B71" s="301"/>
      <c r="C71" s="301"/>
      <c r="D71" s="301"/>
    </row>
    <row r="72" spans="2:12">
      <c r="B72" s="301"/>
      <c r="C72" s="301"/>
      <c r="D72" s="301"/>
    </row>
    <row r="74" spans="2:12" ht="16.2" thickBot="1">
      <c r="B74" s="5" t="s">
        <v>69</v>
      </c>
      <c r="C74" s="53">
        <f>Calculations!$C$67</f>
        <v>-8.6942078670807943E-2</v>
      </c>
      <c r="D74" s="9" t="s">
        <v>3</v>
      </c>
      <c r="E74" s="110" t="str">
        <f>IF(C80&gt;0,CONCATENATE("The project is profitable with an internal rate of return of ",ROUND(C74*100,2),"%."),"The project is not economically viable.")</f>
        <v>The project is not economically viable.</v>
      </c>
    </row>
    <row r="75" spans="2:12" ht="13.95" customHeight="1">
      <c r="B75" s="302" t="s">
        <v>70</v>
      </c>
      <c r="C75" s="302"/>
      <c r="D75" s="302"/>
      <c r="F75" s="162"/>
    </row>
    <row r="76" spans="2:12">
      <c r="B76" s="301"/>
      <c r="C76" s="301"/>
      <c r="D76" s="301"/>
      <c r="L76" t="s">
        <v>66</v>
      </c>
    </row>
    <row r="77" spans="2:12">
      <c r="B77" s="301"/>
      <c r="C77" s="301"/>
      <c r="D77" s="301"/>
    </row>
    <row r="78" spans="2:12" ht="76.05" customHeight="1">
      <c r="B78" s="301"/>
      <c r="C78" s="301"/>
      <c r="D78" s="301"/>
    </row>
    <row r="80" spans="2:12" ht="16.2" thickBot="1">
      <c r="B80" s="5" t="s">
        <v>71</v>
      </c>
      <c r="C80" s="14">
        <f>Calculations!C66</f>
        <v>-1963.3697189023419</v>
      </c>
      <c r="D80" s="9" t="s">
        <v>34</v>
      </c>
      <c r="E80" s="110" t="str">
        <f>CONCATENATE("With a project lifetime of ",C6," years, a net present value of ",ROUND(C80,2)," EUR can be achieved.")</f>
        <v>With a project lifetime of 18 years, a net present value of -1963.37 EUR can be achieved.</v>
      </c>
    </row>
    <row r="81" spans="2:10" ht="4.95" customHeight="1"/>
    <row r="82" spans="2:10">
      <c r="B82" s="301" t="s">
        <v>198</v>
      </c>
      <c r="C82" s="301"/>
      <c r="D82" s="301"/>
      <c r="F82" s="47"/>
    </row>
    <row r="83" spans="2:10">
      <c r="B83" s="301" t="s">
        <v>72</v>
      </c>
      <c r="C83" s="301"/>
      <c r="D83" s="301"/>
    </row>
    <row r="84" spans="2:10">
      <c r="B84" s="301"/>
      <c r="C84" s="301"/>
      <c r="D84" s="301"/>
    </row>
    <row r="85" spans="2:10" ht="29.4" customHeight="1">
      <c r="B85" s="301"/>
      <c r="C85" s="301"/>
      <c r="D85" s="301"/>
    </row>
    <row r="87" spans="2:10" ht="16.2" thickBot="1">
      <c r="B87" s="5" t="s">
        <v>168</v>
      </c>
      <c r="C87" s="128">
        <f>-(Calculations!E37+Calculations!Q37)/(Calculations!G37+Calculations!H37)</f>
        <v>1.3771379349997031</v>
      </c>
      <c r="D87" s="9" t="s">
        <v>3</v>
      </c>
      <c r="E87" s="110" t="str">
        <f>IF(C87&gt;1,CONCATENATE("The Agrivoltaic system can cover ",ROUND(C87*100,2)," percent of the debt service."), CONCATENATE("The agrivoltaic system can only cover ",ROUND(C87*100,2)," percent of the debt service."))</f>
        <v>The Agrivoltaic system can cover 137.71 percent of the debt service.</v>
      </c>
    </row>
    <row r="89" spans="2:10" ht="101.4" customHeight="1">
      <c r="B89" s="301" t="s">
        <v>199</v>
      </c>
      <c r="C89" s="301"/>
      <c r="D89" s="301"/>
    </row>
    <row r="90" spans="2:10">
      <c r="B90" s="99" t="s">
        <v>238</v>
      </c>
    </row>
    <row r="92" spans="2:10">
      <c r="B92" s="99" t="s">
        <v>239</v>
      </c>
    </row>
    <row r="93" spans="2:10">
      <c r="B93" s="99" t="s">
        <v>240</v>
      </c>
    </row>
    <row r="94" spans="2:10">
      <c r="B94" s="99" t="s">
        <v>241</v>
      </c>
    </row>
    <row r="96" spans="2:10">
      <c r="J96" s="126"/>
    </row>
    <row r="97" spans="10:10">
      <c r="J97" s="127"/>
    </row>
  </sheetData>
  <sheetProtection algorithmName="SHA-512" hashValue="Pk60ujBA4+jWOQFRHXmk07aLj7tyIF8z+zL+l9cKvvdyVWsvbn/snJ13k4OXcibHy/SmU5iN9aJ//Mz578XkCQ==" saltValue="uzxnKfIlizLE6THIGoLgrg==" spinCount="100000" sheet="1" objects="1" scenarios="1"/>
  <mergeCells count="18">
    <mergeCell ref="B89:D89"/>
    <mergeCell ref="B65:D65"/>
    <mergeCell ref="B69:D72"/>
    <mergeCell ref="B75:D78"/>
    <mergeCell ref="B82:D85"/>
    <mergeCell ref="B55:D55"/>
    <mergeCell ref="B60:D63"/>
    <mergeCell ref="B47:D49"/>
    <mergeCell ref="B2:D2"/>
    <mergeCell ref="B4:D4"/>
    <mergeCell ref="B10:D10"/>
    <mergeCell ref="B17:D17"/>
    <mergeCell ref="B22:D22"/>
    <mergeCell ref="B24:B25"/>
    <mergeCell ref="B33:D33"/>
    <mergeCell ref="B39:D39"/>
    <mergeCell ref="B41:D41"/>
    <mergeCell ref="B43:D46"/>
  </mergeCells>
  <hyperlinks>
    <hyperlink ref="F12" r:id="rId1" xr:uid="{59672E7C-E161-460A-8B96-1F5CC5067981}"/>
    <hyperlink ref="L35" r:id="rId2" xr:uid="{D390953E-392C-4CAA-9996-4F7D26BE6EEB}"/>
  </hyperlinks>
  <pageMargins left="0.7" right="0.7" top="0.75" bottom="0.75" header="0.3" footer="0.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3D53ED7E-63B3-B045-BC46-6440670E3248}">
          <x14:formula1>
            <xm:f>Calculations!$J$74:$J$75</xm:f>
          </x14:formula1>
          <xm:sqref>C51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AA48C-6931-924B-A267-138DF6DDFF0A}">
  <sheetPr codeName="Tabelle2"/>
  <dimension ref="B2:I53"/>
  <sheetViews>
    <sheetView showGridLines="0" zoomScale="120" zoomScaleNormal="120" workbookViewId="0">
      <selection sqref="A1:XFD1048576"/>
    </sheetView>
  </sheetViews>
  <sheetFormatPr baseColWidth="10" defaultColWidth="11.19921875" defaultRowHeight="15.6"/>
  <cols>
    <col min="2" max="2" width="15.296875" customWidth="1"/>
    <col min="9" max="9" width="22.5" bestFit="1" customWidth="1"/>
  </cols>
  <sheetData>
    <row r="2" spans="2:6">
      <c r="B2" s="293" t="s">
        <v>73</v>
      </c>
      <c r="C2" s="293"/>
      <c r="D2" s="293"/>
      <c r="F2" s="1" t="s">
        <v>94</v>
      </c>
    </row>
    <row r="3" spans="2:6" ht="4.95" customHeight="1"/>
    <row r="4" spans="2:6" ht="15.6" customHeight="1">
      <c r="B4" s="18" t="s">
        <v>95</v>
      </c>
      <c r="C4" s="96">
        <f>'Inputs&amp;Results'!C25</f>
        <v>1600</v>
      </c>
      <c r="D4" s="95" t="s">
        <v>3</v>
      </c>
      <c r="E4" s="43" t="s">
        <v>96</v>
      </c>
      <c r="F4" s="97">
        <f>'Inputs&amp;Results'!C25</f>
        <v>1600</v>
      </c>
    </row>
    <row r="5" spans="2:6">
      <c r="B5" s="18" t="s">
        <v>46</v>
      </c>
      <c r="C5" s="52">
        <f>'Inputs&amp;Results'!C26</f>
        <v>0.2</v>
      </c>
      <c r="D5" s="8" t="s">
        <v>3</v>
      </c>
      <c r="E5" s="43" t="s">
        <v>89</v>
      </c>
      <c r="F5" s="97">
        <f>'Inputs&amp;Results'!C25*WACC!C5</f>
        <v>320</v>
      </c>
    </row>
    <row r="6" spans="2:6">
      <c r="B6" s="18" t="s">
        <v>47</v>
      </c>
      <c r="C6" s="52">
        <f>'Inputs&amp;Results'!C27</f>
        <v>0.8</v>
      </c>
      <c r="D6" s="8" t="s">
        <v>3</v>
      </c>
      <c r="E6" s="43" t="s">
        <v>90</v>
      </c>
      <c r="F6" s="97">
        <f>'Inputs&amp;Results'!C25*WACC!C6</f>
        <v>1280</v>
      </c>
    </row>
    <row r="7" spans="2:6" ht="18">
      <c r="B7" s="18" t="s">
        <v>48</v>
      </c>
      <c r="C7" s="52">
        <f>'Inputs&amp;Results'!C28</f>
        <v>7.0000000000000007E-2</v>
      </c>
      <c r="D7" s="8" t="s">
        <v>3</v>
      </c>
      <c r="E7" s="43" t="s">
        <v>91</v>
      </c>
      <c r="F7" s="94">
        <f>C7</f>
        <v>7.0000000000000007E-2</v>
      </c>
    </row>
    <row r="8" spans="2:6" ht="18">
      <c r="B8" s="18" t="s">
        <v>49</v>
      </c>
      <c r="C8" s="52">
        <f>'Inputs&amp;Results'!C29</f>
        <v>7.0000000000000007E-2</v>
      </c>
      <c r="D8" s="8" t="s">
        <v>3</v>
      </c>
      <c r="E8" s="43" t="s">
        <v>92</v>
      </c>
      <c r="F8" s="94">
        <f t="shared" ref="F8:F9" si="0">C8</f>
        <v>7.0000000000000007E-2</v>
      </c>
    </row>
    <row r="9" spans="2:6" ht="18">
      <c r="B9" s="18" t="s">
        <v>50</v>
      </c>
      <c r="C9" s="52">
        <f>'Inputs&amp;Results'!C30</f>
        <v>0.15</v>
      </c>
      <c r="D9" s="8" t="s">
        <v>3</v>
      </c>
      <c r="E9" s="43" t="s">
        <v>93</v>
      </c>
      <c r="F9" s="94">
        <f t="shared" si="0"/>
        <v>0.15</v>
      </c>
    </row>
    <row r="10" spans="2:6">
      <c r="B10" s="18" t="s">
        <v>53</v>
      </c>
      <c r="C10" s="52">
        <f>'Inputs&amp;Results'!C7</f>
        <v>7.1408474576271183E-2</v>
      </c>
      <c r="D10" s="8" t="s">
        <v>3</v>
      </c>
      <c r="E10" s="43"/>
    </row>
    <row r="11" spans="2:6" ht="16.2" thickBot="1">
      <c r="B11" s="34" t="s">
        <v>51</v>
      </c>
      <c r="C11" s="72">
        <f>'Inputs&amp;Results'!C31</f>
        <v>0.25</v>
      </c>
      <c r="D11" s="73"/>
      <c r="E11" s="43"/>
    </row>
    <row r="13" spans="2:6" ht="16.2" thickBot="1">
      <c r="B13" s="34" t="s">
        <v>52</v>
      </c>
      <c r="C13" s="69">
        <f>(C5*C7)+(C6*C8*(1-C9))</f>
        <v>6.1600000000000002E-2</v>
      </c>
      <c r="D13" s="9" t="s">
        <v>3</v>
      </c>
    </row>
    <row r="14" spans="2:6" ht="4.95" customHeight="1">
      <c r="C14" s="70"/>
      <c r="D14" s="2"/>
    </row>
    <row r="15" spans="2:6" ht="16.05" customHeight="1">
      <c r="B15" s="303" t="s">
        <v>81</v>
      </c>
      <c r="C15" s="303"/>
      <c r="D15" s="303"/>
    </row>
    <row r="16" spans="2:6">
      <c r="B16" s="303"/>
      <c r="C16" s="303"/>
      <c r="D16" s="303"/>
    </row>
    <row r="17" spans="2:9">
      <c r="B17" s="303"/>
      <c r="C17" s="303"/>
      <c r="D17" s="303"/>
    </row>
    <row r="18" spans="2:9" ht="82.05" customHeight="1">
      <c r="B18" s="303"/>
      <c r="C18" s="303"/>
      <c r="D18" s="303"/>
    </row>
    <row r="20" spans="2:9" ht="16.2" thickBot="1">
      <c r="B20" s="34" t="s">
        <v>54</v>
      </c>
      <c r="C20" s="69">
        <f>((C13+1)/(C10+1))-1</f>
        <v>-9.1547479873631543E-3</v>
      </c>
      <c r="D20" s="9" t="s">
        <v>3</v>
      </c>
      <c r="I20" s="98"/>
    </row>
    <row r="21" spans="2:9" ht="4.95" customHeight="1"/>
    <row r="22" spans="2:9" ht="16.05" customHeight="1">
      <c r="B22" s="303" t="s">
        <v>82</v>
      </c>
      <c r="C22" s="303"/>
      <c r="D22" s="303"/>
    </row>
    <row r="23" spans="2:9">
      <c r="B23" s="303"/>
      <c r="C23" s="303"/>
      <c r="D23" s="303"/>
    </row>
    <row r="24" spans="2:9">
      <c r="B24" s="303"/>
      <c r="C24" s="303"/>
      <c r="D24" s="303"/>
    </row>
    <row r="25" spans="2:9">
      <c r="B25" s="303"/>
      <c r="C25" s="303"/>
      <c r="D25" s="303"/>
    </row>
    <row r="26" spans="2:9">
      <c r="B26" s="303"/>
      <c r="C26" s="303"/>
      <c r="D26" s="303"/>
    </row>
    <row r="27" spans="2:9" ht="3" customHeight="1">
      <c r="B27" s="303"/>
      <c r="C27" s="303"/>
      <c r="D27" s="303"/>
    </row>
    <row r="28" spans="2:9">
      <c r="B28" s="71"/>
      <c r="C28" s="71"/>
      <c r="D28" s="71"/>
    </row>
    <row r="29" spans="2:9">
      <c r="B29" s="71"/>
      <c r="C29" s="71"/>
      <c r="D29" s="71"/>
    </row>
    <row r="53" spans="8:8" ht="19.8">
      <c r="H53" s="68"/>
    </row>
  </sheetData>
  <sheetProtection algorithmName="SHA-512" hashValue="2zlQug6LjRBuA+/DfQyfT0N7HymDCPy/4u21OvMr6bmZ6dp5o7Mr7htRDC+aNkTe7TjT57Te0YlKjeUHtAUzNQ==" saltValue="ejHiFWVqit3peG1bjHTNhA==" spinCount="100000" sheet="1" objects="1" scenarios="1"/>
  <mergeCells count="3">
    <mergeCell ref="B2:D2"/>
    <mergeCell ref="B15:D18"/>
    <mergeCell ref="B22:D2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49C51-A014-4A87-A30B-6F6F3AB6F16C}">
  <sheetPr codeName="Tabelle3">
    <pageSetUpPr fitToPage="1"/>
  </sheetPr>
  <dimension ref="B1:U558"/>
  <sheetViews>
    <sheetView showGridLines="0" zoomScale="120" zoomScaleNormal="120" workbookViewId="0">
      <pane ySplit="24" topLeftCell="A25" activePane="bottomLeft" state="frozen"/>
      <selection pane="bottomLeft" activeCell="E13" sqref="E13"/>
    </sheetView>
  </sheetViews>
  <sheetFormatPr baseColWidth="10" defaultColWidth="0" defaultRowHeight="13.2"/>
  <cols>
    <col min="1" max="1" width="5.09765625" style="206" customWidth="1"/>
    <col min="2" max="2" width="6.09765625" style="206" customWidth="1"/>
    <col min="3" max="3" width="10.3984375" style="207" customWidth="1"/>
    <col min="4" max="4" width="13.09765625" style="208" customWidth="1"/>
    <col min="5" max="5" width="13.3984375" style="206" customWidth="1"/>
    <col min="6" max="6" width="9.5" style="206" customWidth="1"/>
    <col min="7" max="7" width="12.296875" style="206" bestFit="1" customWidth="1"/>
    <col min="8" max="8" width="10.5" style="208" customWidth="1"/>
    <col min="9" max="9" width="8" style="208" customWidth="1"/>
    <col min="10" max="11" width="13.09765625" style="208" customWidth="1"/>
    <col min="12" max="12" width="6.69921875" style="208" bestFit="1" customWidth="1"/>
    <col min="13" max="15" width="13.09765625" style="208" customWidth="1"/>
    <col min="16" max="16" width="1.3984375" style="206" customWidth="1"/>
    <col min="17" max="16384" width="0" style="206" hidden="1"/>
  </cols>
  <sheetData>
    <row r="1" spans="2:15" ht="6" customHeight="1"/>
    <row r="2" spans="2:15" ht="22.2">
      <c r="B2" s="209"/>
    </row>
    <row r="3" spans="2:15" ht="20.25" customHeight="1">
      <c r="B3" s="210" t="s">
        <v>139</v>
      </c>
      <c r="C3" s="211"/>
      <c r="D3" s="212"/>
      <c r="E3" s="213"/>
    </row>
    <row r="4" spans="2:15" ht="9.75" customHeight="1">
      <c r="B4" s="213"/>
      <c r="C4" s="214"/>
      <c r="D4" s="212"/>
      <c r="E4" s="213"/>
    </row>
    <row r="5" spans="2:15">
      <c r="B5" s="215" t="s">
        <v>140</v>
      </c>
      <c r="C5" s="216"/>
      <c r="D5" s="217"/>
      <c r="E5" s="218"/>
      <c r="F5" s="218"/>
      <c r="G5" s="218"/>
      <c r="H5" s="219"/>
      <c r="I5" s="220"/>
      <c r="J5" s="220"/>
      <c r="K5" s="220"/>
      <c r="L5" s="220"/>
      <c r="M5" s="220"/>
      <c r="N5" s="220"/>
      <c r="O5" s="220"/>
    </row>
    <row r="6" spans="2:15" s="225" customFormat="1" ht="15.6" customHeight="1">
      <c r="B6" s="221"/>
      <c r="C6" s="222"/>
      <c r="D6" s="223"/>
      <c r="E6" s="224"/>
      <c r="H6" s="226"/>
      <c r="I6" s="227"/>
      <c r="J6" s="227"/>
      <c r="K6" s="227"/>
      <c r="L6" s="227"/>
    </row>
    <row r="7" spans="2:15" s="225" customFormat="1" ht="27" customHeight="1">
      <c r="B7" s="221"/>
      <c r="C7" s="222"/>
      <c r="D7" s="223"/>
      <c r="E7" s="224"/>
    </row>
    <row r="8" spans="2:15" s="225" customFormat="1" ht="13.2" customHeight="1">
      <c r="B8" s="221"/>
      <c r="C8" s="222"/>
      <c r="D8" s="223"/>
      <c r="E8" s="224"/>
      <c r="G8" s="228"/>
      <c r="H8" s="228"/>
    </row>
    <row r="9" spans="2:15" ht="14.1" customHeight="1">
      <c r="B9" s="229" t="s">
        <v>142</v>
      </c>
      <c r="C9" s="230"/>
      <c r="D9" s="231"/>
      <c r="E9" s="269">
        <f>'Inputs&amp;Results'!C25*'Inputs&amp;Results'!C27</f>
        <v>1280</v>
      </c>
      <c r="F9" s="232" t="s">
        <v>169</v>
      </c>
      <c r="G9" s="233"/>
      <c r="H9" s="234"/>
      <c r="M9" s="225"/>
      <c r="N9" s="225"/>
      <c r="O9" s="206"/>
    </row>
    <row r="10" spans="2:15" ht="14.1" customHeight="1">
      <c r="B10" s="235" t="s">
        <v>144</v>
      </c>
      <c r="C10" s="236"/>
      <c r="D10" s="237"/>
      <c r="E10" s="270">
        <f>'Inputs&amp;Results'!C29</f>
        <v>7.0000000000000007E-2</v>
      </c>
      <c r="F10" s="232" t="s">
        <v>169</v>
      </c>
      <c r="G10" s="233"/>
      <c r="H10" s="234"/>
      <c r="M10" s="225"/>
      <c r="N10" s="225"/>
      <c r="O10" s="206"/>
    </row>
    <row r="11" spans="2:15" ht="14.1" customHeight="1">
      <c r="B11" s="235" t="s">
        <v>146</v>
      </c>
      <c r="C11" s="236"/>
      <c r="D11" s="237"/>
      <c r="E11" s="123">
        <v>7</v>
      </c>
      <c r="F11" s="238"/>
      <c r="G11" s="233"/>
      <c r="H11" s="234"/>
      <c r="M11" s="225"/>
      <c r="N11" s="225"/>
      <c r="O11" s="206"/>
    </row>
    <row r="12" spans="2:15" ht="14.1" customHeight="1">
      <c r="B12" s="235" t="s">
        <v>148</v>
      </c>
      <c r="C12" s="236"/>
      <c r="D12" s="237"/>
      <c r="E12" s="124">
        <v>45292</v>
      </c>
      <c r="F12" s="233"/>
      <c r="G12" s="233"/>
      <c r="H12" s="234"/>
      <c r="M12" s="225"/>
      <c r="N12" s="225"/>
      <c r="O12" s="206"/>
    </row>
    <row r="13" spans="2:15" ht="14.1" customHeight="1">
      <c r="B13" s="239" t="s">
        <v>150</v>
      </c>
      <c r="C13" s="236"/>
      <c r="D13" s="237"/>
      <c r="E13" s="125"/>
      <c r="F13" s="233"/>
      <c r="G13" s="233"/>
      <c r="H13" s="234"/>
      <c r="M13" s="225"/>
      <c r="N13" s="225"/>
      <c r="O13" s="206"/>
    </row>
    <row r="14" spans="2:15" ht="14.1" customHeight="1">
      <c r="B14" s="240"/>
      <c r="C14" s="241"/>
      <c r="D14" s="242"/>
      <c r="E14" s="122"/>
      <c r="F14" s="233"/>
      <c r="G14" s="233"/>
      <c r="H14" s="234"/>
      <c r="M14" s="225"/>
      <c r="N14" s="225"/>
      <c r="O14" s="206"/>
    </row>
    <row r="15" spans="2:15" ht="9.75" customHeight="1">
      <c r="B15" s="233"/>
      <c r="C15" s="243"/>
      <c r="D15" s="234"/>
      <c r="E15" s="233"/>
      <c r="F15" s="233"/>
      <c r="G15" s="233"/>
      <c r="H15" s="234"/>
      <c r="M15" s="225"/>
      <c r="N15" s="225"/>
      <c r="O15" s="206"/>
    </row>
    <row r="16" spans="2:15">
      <c r="B16" s="244" t="s">
        <v>153</v>
      </c>
      <c r="C16" s="217"/>
      <c r="D16" s="245"/>
      <c r="E16" s="218"/>
      <c r="F16" s="218"/>
      <c r="G16" s="219"/>
      <c r="H16" s="220"/>
      <c r="M16" s="225"/>
      <c r="N16" s="225"/>
      <c r="O16" s="206"/>
    </row>
    <row r="17" spans="2:21">
      <c r="B17" s="246" t="s">
        <v>154</v>
      </c>
      <c r="C17" s="241"/>
      <c r="D17" s="242"/>
      <c r="E17" s="247">
        <f>IF(E11&lt;&gt;0,PMT(E10/12,E11*12,-E9),"")</f>
        <v>19.318630377202425</v>
      </c>
      <c r="F17" s="248">
        <f>1/((((1+(E10/12))^(E11*12))-1)/((((1+(E10/12))^(E11*12)))*E10/12))*E9</f>
        <v>19.318630377202378</v>
      </c>
      <c r="G17" s="206" t="s">
        <v>232</v>
      </c>
      <c r="H17" s="249">
        <f>E17*12</f>
        <v>231.8235645264291</v>
      </c>
      <c r="M17" s="225"/>
      <c r="N17" s="225"/>
      <c r="O17" s="206"/>
    </row>
    <row r="18" spans="2:21">
      <c r="B18" s="246" t="s">
        <v>155</v>
      </c>
      <c r="C18" s="241"/>
      <c r="D18" s="242"/>
      <c r="E18" s="246">
        <f>IF(E11&lt;&gt;"",E11*12,"")</f>
        <v>84</v>
      </c>
      <c r="F18" s="233"/>
      <c r="G18" s="233"/>
      <c r="H18" s="234"/>
      <c r="M18" s="225"/>
      <c r="N18" s="225"/>
      <c r="O18" s="206"/>
    </row>
    <row r="19" spans="2:21">
      <c r="B19" s="246" t="s">
        <v>156</v>
      </c>
      <c r="C19" s="241"/>
      <c r="D19" s="242"/>
      <c r="E19" s="246">
        <f>COUNT(B25:B384)</f>
        <v>84</v>
      </c>
      <c r="F19" s="238"/>
      <c r="G19" s="233"/>
      <c r="H19" s="234"/>
      <c r="M19" s="206"/>
      <c r="N19" s="206"/>
      <c r="O19" s="206"/>
    </row>
    <row r="20" spans="2:21">
      <c r="B20" s="246" t="s">
        <v>157</v>
      </c>
      <c r="C20" s="241"/>
      <c r="D20" s="242"/>
      <c r="E20" s="247">
        <f>SUM(F25:F384)</f>
        <v>0</v>
      </c>
      <c r="F20" s="233"/>
      <c r="G20" s="233"/>
      <c r="H20" s="234"/>
      <c r="M20" s="206"/>
      <c r="N20" s="206"/>
      <c r="O20" s="206"/>
    </row>
    <row r="21" spans="2:21">
      <c r="B21" s="246" t="s">
        <v>158</v>
      </c>
      <c r="C21" s="241"/>
      <c r="D21" s="242"/>
      <c r="E21" s="247">
        <f>SUM(I25:I384)</f>
        <v>342.7649516850035</v>
      </c>
      <c r="F21" s="233"/>
      <c r="G21" s="233"/>
      <c r="H21" s="234"/>
      <c r="M21" s="206"/>
      <c r="N21" s="206"/>
      <c r="O21" s="206"/>
    </row>
    <row r="22" spans="2:21" ht="9.9" customHeight="1">
      <c r="C22" s="243"/>
      <c r="D22" s="234"/>
      <c r="E22" s="233"/>
      <c r="F22" s="233"/>
      <c r="G22" s="233"/>
      <c r="H22" s="234"/>
      <c r="M22" s="206"/>
      <c r="N22" s="206"/>
      <c r="O22" s="206"/>
    </row>
    <row r="23" spans="2:21" ht="13.8" thickBot="1">
      <c r="B23" s="250" t="s">
        <v>159</v>
      </c>
      <c r="C23" s="251"/>
      <c r="D23" s="220"/>
      <c r="E23" s="219"/>
      <c r="F23" s="219"/>
      <c r="G23" s="219"/>
      <c r="H23" s="220"/>
      <c r="I23" s="220"/>
      <c r="J23" s="220"/>
      <c r="K23" s="220"/>
      <c r="L23" s="220"/>
      <c r="M23" s="220"/>
      <c r="N23" s="220"/>
      <c r="O23" s="220"/>
    </row>
    <row r="24" spans="2:21" s="261" customFormat="1" ht="53.4" thickBot="1">
      <c r="B24" s="252" t="s">
        <v>160</v>
      </c>
      <c r="C24" s="253" t="s">
        <v>148</v>
      </c>
      <c r="D24" s="254" t="s">
        <v>161</v>
      </c>
      <c r="E24" s="255" t="s">
        <v>162</v>
      </c>
      <c r="F24" s="255" t="s">
        <v>163</v>
      </c>
      <c r="G24" s="255" t="s">
        <v>164</v>
      </c>
      <c r="H24" s="254" t="s">
        <v>165</v>
      </c>
      <c r="I24" s="254" t="s">
        <v>166</v>
      </c>
      <c r="J24" s="256" t="s">
        <v>167</v>
      </c>
      <c r="K24" s="257"/>
      <c r="L24" s="258"/>
      <c r="M24" s="259" t="s">
        <v>164</v>
      </c>
      <c r="N24" s="259" t="s">
        <v>165</v>
      </c>
      <c r="O24" s="260" t="s">
        <v>166</v>
      </c>
      <c r="P24" s="206"/>
      <c r="Q24" s="206"/>
      <c r="R24" s="206"/>
      <c r="S24" s="206"/>
      <c r="T24" s="206"/>
      <c r="U24" s="206"/>
    </row>
    <row r="25" spans="2:21">
      <c r="B25" s="233">
        <f>IF(AND(E18&lt;&gt;0,E18&lt;&gt;""),1,"")</f>
        <v>1</v>
      </c>
      <c r="C25" s="243">
        <f>IF(B25&lt;&gt;"",E12,"")</f>
        <v>45292</v>
      </c>
      <c r="D25" s="234">
        <f>IF(B25&lt;&gt;"",E9,"")</f>
        <v>1280</v>
      </c>
      <c r="E25" s="234">
        <f t="shared" ref="E25:E88" si="0">IF(B25&lt;&gt;"",$E$17,"")</f>
        <v>19.318630377202425</v>
      </c>
      <c r="F25" s="234">
        <f t="shared" ref="F25:F88" si="1">IF(B25&lt;&gt;"",$E$13,"")</f>
        <v>0</v>
      </c>
      <c r="G25" s="234">
        <f t="shared" ref="G25:G88" si="2">IF(B25&lt;&gt;"",E25+F25,"")</f>
        <v>19.318630377202425</v>
      </c>
      <c r="H25" s="234">
        <f t="shared" ref="H25:H88" si="3">IF(B25&lt;&gt;"",E25+F25-I25,"")</f>
        <v>11.851963710535756</v>
      </c>
      <c r="I25" s="234">
        <f t="shared" ref="I25:I88" si="4">IF(B25&lt;&gt;"",D25*$E$10/12,"")</f>
        <v>7.4666666666666677</v>
      </c>
      <c r="J25" s="234">
        <f t="shared" ref="J25:J88" si="5">IF(B25&lt;&gt;"",D25-H25,"")</f>
        <v>1268.1480362894642</v>
      </c>
      <c r="K25" s="234"/>
      <c r="L25" s="262" t="s">
        <v>141</v>
      </c>
      <c r="M25" s="263">
        <f>SUM(G25:G36)</f>
        <v>231.8235645264291</v>
      </c>
      <c r="N25" s="263">
        <f>SUM(H25:H36)</f>
        <v>146.87647113253729</v>
      </c>
      <c r="O25" s="264">
        <f>SUM(I25:I36)</f>
        <v>84.947093393891805</v>
      </c>
    </row>
    <row r="26" spans="2:21">
      <c r="B26" s="233">
        <f t="shared" ref="B26:B89" si="6">IF(OR(ISERROR(IF(B25+1&lt;=$E$18,B25+1,"")),J25&lt;=0),"",IF(B25+1&lt;=$E$18,B25+1,""))</f>
        <v>2</v>
      </c>
      <c r="C26" s="243">
        <f t="shared" ref="C26:C89" si="7">IF(B26&lt;&gt;"",DATE(YEAR(C25),MONTH(C25)+1,DAY(C25)),"")</f>
        <v>45323</v>
      </c>
      <c r="D26" s="234">
        <f t="shared" ref="D26:D89" si="8">IF(B26&lt;&gt;"",J25,"")</f>
        <v>1268.1480362894642</v>
      </c>
      <c r="E26" s="234">
        <f t="shared" si="0"/>
        <v>19.318630377202425</v>
      </c>
      <c r="F26" s="234">
        <f t="shared" si="1"/>
        <v>0</v>
      </c>
      <c r="G26" s="234">
        <f t="shared" si="2"/>
        <v>19.318630377202425</v>
      </c>
      <c r="H26" s="234">
        <f t="shared" si="3"/>
        <v>11.921100165513881</v>
      </c>
      <c r="I26" s="234">
        <f t="shared" si="4"/>
        <v>7.3975302116885429</v>
      </c>
      <c r="J26" s="234">
        <f t="shared" si="5"/>
        <v>1256.2269361239503</v>
      </c>
      <c r="K26" s="234"/>
      <c r="L26" s="262" t="s">
        <v>143</v>
      </c>
      <c r="M26" s="263">
        <f>SUM(G37:G48)</f>
        <v>231.8235645264291</v>
      </c>
      <c r="N26" s="263">
        <f>SUM(H37:H48)</f>
        <v>157.49418310658697</v>
      </c>
      <c r="O26" s="264">
        <f>SUM(I37:I48)</f>
        <v>74.329381419842093</v>
      </c>
    </row>
    <row r="27" spans="2:21">
      <c r="B27" s="233">
        <f t="shared" si="6"/>
        <v>3</v>
      </c>
      <c r="C27" s="243">
        <f t="shared" si="7"/>
        <v>45352</v>
      </c>
      <c r="D27" s="234">
        <f t="shared" si="8"/>
        <v>1256.2269361239503</v>
      </c>
      <c r="E27" s="234">
        <f t="shared" si="0"/>
        <v>19.318630377202425</v>
      </c>
      <c r="F27" s="234">
        <f t="shared" si="1"/>
        <v>0</v>
      </c>
      <c r="G27" s="234">
        <f t="shared" si="2"/>
        <v>19.318630377202425</v>
      </c>
      <c r="H27" s="234">
        <f t="shared" si="3"/>
        <v>11.990639916479381</v>
      </c>
      <c r="I27" s="234">
        <f t="shared" si="4"/>
        <v>7.3279904607230435</v>
      </c>
      <c r="J27" s="234">
        <f t="shared" si="5"/>
        <v>1244.2362962074708</v>
      </c>
      <c r="K27" s="234"/>
      <c r="L27" s="262" t="s">
        <v>145</v>
      </c>
      <c r="M27" s="263">
        <f>SUM(G49:G60)</f>
        <v>231.8235645264291</v>
      </c>
      <c r="N27" s="263">
        <f>SUM(H49:H60)</f>
        <v>168.87945033774898</v>
      </c>
      <c r="O27" s="264">
        <f>SUM(I49:I60)</f>
        <v>62.944114188680139</v>
      </c>
    </row>
    <row r="28" spans="2:21">
      <c r="B28" s="233">
        <f t="shared" si="6"/>
        <v>4</v>
      </c>
      <c r="C28" s="243">
        <f t="shared" si="7"/>
        <v>45383</v>
      </c>
      <c r="D28" s="234">
        <f t="shared" si="8"/>
        <v>1244.2362962074708</v>
      </c>
      <c r="E28" s="234">
        <f t="shared" si="0"/>
        <v>19.318630377202425</v>
      </c>
      <c r="F28" s="234">
        <f t="shared" si="1"/>
        <v>0</v>
      </c>
      <c r="G28" s="234">
        <f t="shared" si="2"/>
        <v>19.318630377202425</v>
      </c>
      <c r="H28" s="234">
        <f t="shared" si="3"/>
        <v>12.060585315992178</v>
      </c>
      <c r="I28" s="234">
        <f t="shared" si="4"/>
        <v>7.2580450612102467</v>
      </c>
      <c r="J28" s="234">
        <f t="shared" si="5"/>
        <v>1232.1757108914785</v>
      </c>
      <c r="K28" s="234"/>
      <c r="L28" s="262" t="s">
        <v>147</v>
      </c>
      <c r="M28" s="263">
        <f>SUM(G61:G72)</f>
        <v>231.8235645264291</v>
      </c>
      <c r="N28" s="263">
        <f>SUM(H61:H72)</f>
        <v>181.08775945762147</v>
      </c>
      <c r="O28" s="264">
        <f>SUM(I61:I72)</f>
        <v>50.735805068807629</v>
      </c>
    </row>
    <row r="29" spans="2:21">
      <c r="B29" s="233">
        <f t="shared" si="6"/>
        <v>5</v>
      </c>
      <c r="C29" s="243">
        <f t="shared" si="7"/>
        <v>45413</v>
      </c>
      <c r="D29" s="234">
        <f t="shared" si="8"/>
        <v>1232.1757108914785</v>
      </c>
      <c r="E29" s="234">
        <f t="shared" si="0"/>
        <v>19.318630377202425</v>
      </c>
      <c r="F29" s="234">
        <f t="shared" si="1"/>
        <v>0</v>
      </c>
      <c r="G29" s="234">
        <f t="shared" si="2"/>
        <v>19.318630377202425</v>
      </c>
      <c r="H29" s="234">
        <f t="shared" si="3"/>
        <v>12.130938730335465</v>
      </c>
      <c r="I29" s="234">
        <f t="shared" si="4"/>
        <v>7.1876916468669592</v>
      </c>
      <c r="J29" s="234">
        <f t="shared" si="5"/>
        <v>1220.0447721611431</v>
      </c>
      <c r="K29" s="234"/>
      <c r="L29" s="262" t="s">
        <v>149</v>
      </c>
      <c r="M29" s="263">
        <f>SUM(G73:G84)</f>
        <v>231.8235645264291</v>
      </c>
      <c r="N29" s="263">
        <f>SUM(H73:H84)</f>
        <v>194.17860823088745</v>
      </c>
      <c r="O29" s="264">
        <f>SUM(I73:I84)</f>
        <v>37.644956295541618</v>
      </c>
    </row>
    <row r="30" spans="2:21">
      <c r="B30" s="233">
        <f t="shared" si="6"/>
        <v>6</v>
      </c>
      <c r="C30" s="243">
        <f t="shared" si="7"/>
        <v>45444</v>
      </c>
      <c r="D30" s="234">
        <f t="shared" si="8"/>
        <v>1220.0447721611431</v>
      </c>
      <c r="E30" s="234">
        <f t="shared" si="0"/>
        <v>19.318630377202425</v>
      </c>
      <c r="F30" s="234">
        <f t="shared" si="1"/>
        <v>0</v>
      </c>
      <c r="G30" s="234">
        <f t="shared" si="2"/>
        <v>19.318630377202425</v>
      </c>
      <c r="H30" s="234">
        <f t="shared" si="3"/>
        <v>12.201702539595757</v>
      </c>
      <c r="I30" s="234">
        <f t="shared" si="4"/>
        <v>7.116927837606668</v>
      </c>
      <c r="J30" s="234">
        <f t="shared" si="5"/>
        <v>1207.8430696215473</v>
      </c>
      <c r="K30" s="234"/>
      <c r="L30" s="262" t="s">
        <v>151</v>
      </c>
      <c r="M30" s="263">
        <f>SUM(G85:G96)</f>
        <v>231.8235645264291</v>
      </c>
      <c r="N30" s="263">
        <f>SUM(H85:H96)</f>
        <v>208.21579552044963</v>
      </c>
      <c r="O30" s="264">
        <f>SUM(I85:I96)</f>
        <v>23.60776900597946</v>
      </c>
    </row>
    <row r="31" spans="2:21">
      <c r="B31" s="233">
        <f t="shared" si="6"/>
        <v>7</v>
      </c>
      <c r="C31" s="243">
        <f t="shared" si="7"/>
        <v>45474</v>
      </c>
      <c r="D31" s="234">
        <f t="shared" si="8"/>
        <v>1207.8430696215473</v>
      </c>
      <c r="E31" s="234">
        <f t="shared" si="0"/>
        <v>19.318630377202425</v>
      </c>
      <c r="F31" s="234">
        <f t="shared" si="1"/>
        <v>0</v>
      </c>
      <c r="G31" s="234">
        <f t="shared" si="2"/>
        <v>19.318630377202425</v>
      </c>
      <c r="H31" s="234">
        <f t="shared" si="3"/>
        <v>12.272879137743399</v>
      </c>
      <c r="I31" s="234">
        <f t="shared" si="4"/>
        <v>7.0457512394590269</v>
      </c>
      <c r="J31" s="234">
        <f t="shared" si="5"/>
        <v>1195.570190483804</v>
      </c>
      <c r="K31" s="234"/>
      <c r="L31" s="262" t="s">
        <v>152</v>
      </c>
      <c r="M31" s="263">
        <f>SUM(G97:G108)</f>
        <v>231.8235645264291</v>
      </c>
      <c r="N31" s="263">
        <f>SUM(H97:H108)</f>
        <v>223.2677322141684</v>
      </c>
      <c r="O31" s="264">
        <f>SUM(I97:I108)</f>
        <v>8.5558323122607263</v>
      </c>
    </row>
    <row r="32" spans="2:21">
      <c r="B32" s="233">
        <f t="shared" si="6"/>
        <v>8</v>
      </c>
      <c r="C32" s="243">
        <f t="shared" si="7"/>
        <v>45505</v>
      </c>
      <c r="D32" s="234">
        <f t="shared" si="8"/>
        <v>1195.570190483804</v>
      </c>
      <c r="E32" s="234">
        <f t="shared" si="0"/>
        <v>19.318630377202425</v>
      </c>
      <c r="F32" s="234">
        <f t="shared" si="1"/>
        <v>0</v>
      </c>
      <c r="G32" s="234">
        <f t="shared" si="2"/>
        <v>19.318630377202425</v>
      </c>
      <c r="H32" s="234">
        <f t="shared" si="3"/>
        <v>12.344470932713566</v>
      </c>
      <c r="I32" s="234">
        <f t="shared" si="4"/>
        <v>6.9741594444888575</v>
      </c>
      <c r="J32" s="234">
        <f t="shared" si="5"/>
        <v>1183.2257195510904</v>
      </c>
      <c r="K32" s="234"/>
      <c r="L32" s="262" t="s">
        <v>204</v>
      </c>
      <c r="M32" s="263">
        <f>SUM(G109:G120)</f>
        <v>0</v>
      </c>
      <c r="N32" s="263">
        <f>SUM(H109:H120)</f>
        <v>0</v>
      </c>
      <c r="O32" s="264">
        <f>SUM(I109:I120)</f>
        <v>0</v>
      </c>
    </row>
    <row r="33" spans="2:15">
      <c r="B33" s="233">
        <f t="shared" si="6"/>
        <v>9</v>
      </c>
      <c r="C33" s="243">
        <f t="shared" si="7"/>
        <v>45536</v>
      </c>
      <c r="D33" s="234">
        <f t="shared" si="8"/>
        <v>1183.2257195510904</v>
      </c>
      <c r="E33" s="234">
        <f t="shared" si="0"/>
        <v>19.318630377202425</v>
      </c>
      <c r="F33" s="234">
        <f t="shared" si="1"/>
        <v>0</v>
      </c>
      <c r="G33" s="234">
        <f t="shared" si="2"/>
        <v>19.318630377202425</v>
      </c>
      <c r="H33" s="234">
        <f t="shared" si="3"/>
        <v>12.416480346487731</v>
      </c>
      <c r="I33" s="234">
        <f t="shared" si="4"/>
        <v>6.9021500307146946</v>
      </c>
      <c r="J33" s="234">
        <f t="shared" si="5"/>
        <v>1170.8092392046026</v>
      </c>
      <c r="K33" s="234"/>
      <c r="L33" s="262" t="s">
        <v>205</v>
      </c>
      <c r="M33" s="263">
        <f>SUM(G121:G132)</f>
        <v>0</v>
      </c>
      <c r="N33" s="263">
        <f>SUM(H121:H132)</f>
        <v>0</v>
      </c>
      <c r="O33" s="264">
        <f>SUM(I121:I132)</f>
        <v>0</v>
      </c>
    </row>
    <row r="34" spans="2:15">
      <c r="B34" s="233">
        <f t="shared" si="6"/>
        <v>10</v>
      </c>
      <c r="C34" s="243">
        <f t="shared" si="7"/>
        <v>45566</v>
      </c>
      <c r="D34" s="234">
        <f t="shared" si="8"/>
        <v>1170.8092392046026</v>
      </c>
      <c r="E34" s="234">
        <f t="shared" si="0"/>
        <v>19.318630377202425</v>
      </c>
      <c r="F34" s="234">
        <f t="shared" si="1"/>
        <v>0</v>
      </c>
      <c r="G34" s="234">
        <f t="shared" si="2"/>
        <v>19.318630377202425</v>
      </c>
      <c r="H34" s="234">
        <f t="shared" si="3"/>
        <v>12.488909815175575</v>
      </c>
      <c r="I34" s="234">
        <f t="shared" si="4"/>
        <v>6.8297205620268491</v>
      </c>
      <c r="J34" s="234">
        <f t="shared" si="5"/>
        <v>1158.3203293894271</v>
      </c>
      <c r="K34" s="234"/>
      <c r="L34" s="262" t="s">
        <v>206</v>
      </c>
      <c r="M34" s="263">
        <f>SUM(G133:G144)</f>
        <v>0</v>
      </c>
      <c r="N34" s="263">
        <f>SUM(H133:H144)</f>
        <v>0</v>
      </c>
      <c r="O34" s="264">
        <f>SUM(I133:I144)</f>
        <v>0</v>
      </c>
    </row>
    <row r="35" spans="2:15">
      <c r="B35" s="233">
        <f t="shared" si="6"/>
        <v>11</v>
      </c>
      <c r="C35" s="243">
        <f t="shared" si="7"/>
        <v>45597</v>
      </c>
      <c r="D35" s="234">
        <f t="shared" si="8"/>
        <v>1158.3203293894271</v>
      </c>
      <c r="E35" s="234">
        <f t="shared" si="0"/>
        <v>19.318630377202425</v>
      </c>
      <c r="F35" s="234">
        <f t="shared" si="1"/>
        <v>0</v>
      </c>
      <c r="G35" s="234">
        <f t="shared" si="2"/>
        <v>19.318630377202425</v>
      </c>
      <c r="H35" s="234">
        <f t="shared" si="3"/>
        <v>12.561761789097432</v>
      </c>
      <c r="I35" s="234">
        <f t="shared" si="4"/>
        <v>6.7568685881049921</v>
      </c>
      <c r="J35" s="234">
        <f t="shared" si="5"/>
        <v>1145.7585676003296</v>
      </c>
      <c r="K35" s="234"/>
      <c r="L35" s="262" t="s">
        <v>207</v>
      </c>
      <c r="M35" s="263">
        <f>SUM(G145:G156)</f>
        <v>0</v>
      </c>
      <c r="N35" s="263">
        <f>SUM(H145:H156)</f>
        <v>0</v>
      </c>
      <c r="O35" s="264">
        <f>SUM(I145:I156)</f>
        <v>0</v>
      </c>
    </row>
    <row r="36" spans="2:15">
      <c r="B36" s="233">
        <f t="shared" si="6"/>
        <v>12</v>
      </c>
      <c r="C36" s="243">
        <f t="shared" si="7"/>
        <v>45627</v>
      </c>
      <c r="D36" s="234">
        <f t="shared" si="8"/>
        <v>1145.7585676003296</v>
      </c>
      <c r="E36" s="234">
        <f t="shared" si="0"/>
        <v>19.318630377202425</v>
      </c>
      <c r="F36" s="234">
        <f t="shared" si="1"/>
        <v>0</v>
      </c>
      <c r="G36" s="234">
        <f t="shared" si="2"/>
        <v>19.318630377202425</v>
      </c>
      <c r="H36" s="234">
        <f t="shared" si="3"/>
        <v>12.635038732867169</v>
      </c>
      <c r="I36" s="234">
        <f t="shared" si="4"/>
        <v>6.6835916443352561</v>
      </c>
      <c r="J36" s="234">
        <f t="shared" si="5"/>
        <v>1133.1235288674625</v>
      </c>
      <c r="K36" s="234"/>
      <c r="L36" s="262" t="s">
        <v>208</v>
      </c>
      <c r="M36" s="263">
        <f>SUM(G157:G168)</f>
        <v>0</v>
      </c>
      <c r="N36" s="263">
        <f>SUM(H157:H168)</f>
        <v>0</v>
      </c>
      <c r="O36" s="264">
        <f>SUM(I157:I168)</f>
        <v>0</v>
      </c>
    </row>
    <row r="37" spans="2:15">
      <c r="B37" s="233">
        <f t="shared" si="6"/>
        <v>13</v>
      </c>
      <c r="C37" s="243">
        <f t="shared" si="7"/>
        <v>45658</v>
      </c>
      <c r="D37" s="234">
        <f t="shared" si="8"/>
        <v>1133.1235288674625</v>
      </c>
      <c r="E37" s="234">
        <f t="shared" si="0"/>
        <v>19.318630377202425</v>
      </c>
      <c r="F37" s="234">
        <f t="shared" si="1"/>
        <v>0</v>
      </c>
      <c r="G37" s="234">
        <f t="shared" si="2"/>
        <v>19.318630377202425</v>
      </c>
      <c r="H37" s="234">
        <f t="shared" si="3"/>
        <v>12.708743125475561</v>
      </c>
      <c r="I37" s="234">
        <f t="shared" si="4"/>
        <v>6.6098872517268648</v>
      </c>
      <c r="J37" s="234">
        <f t="shared" si="5"/>
        <v>1120.4147857419869</v>
      </c>
      <c r="K37" s="234"/>
      <c r="L37" s="262" t="s">
        <v>209</v>
      </c>
      <c r="M37" s="263">
        <f>SUM(G169:G180)</f>
        <v>0</v>
      </c>
      <c r="N37" s="263">
        <f>SUM(H169:H180)</f>
        <v>0</v>
      </c>
      <c r="O37" s="264">
        <f>SUM(I169:I180)</f>
        <v>0</v>
      </c>
    </row>
    <row r="38" spans="2:15">
      <c r="B38" s="233">
        <f t="shared" si="6"/>
        <v>14</v>
      </c>
      <c r="C38" s="243">
        <f t="shared" si="7"/>
        <v>45689</v>
      </c>
      <c r="D38" s="234">
        <f t="shared" si="8"/>
        <v>1120.4147857419869</v>
      </c>
      <c r="E38" s="234">
        <f t="shared" si="0"/>
        <v>19.318630377202425</v>
      </c>
      <c r="F38" s="234">
        <f t="shared" si="1"/>
        <v>0</v>
      </c>
      <c r="G38" s="234">
        <f t="shared" si="2"/>
        <v>19.318630377202425</v>
      </c>
      <c r="H38" s="234">
        <f t="shared" si="3"/>
        <v>12.782877460374166</v>
      </c>
      <c r="I38" s="234">
        <f t="shared" si="4"/>
        <v>6.5357529168282573</v>
      </c>
      <c r="J38" s="234">
        <f t="shared" si="5"/>
        <v>1107.6319082816126</v>
      </c>
      <c r="K38" s="234"/>
      <c r="L38" s="262" t="s">
        <v>210</v>
      </c>
      <c r="M38" s="263">
        <f>SUM(G181:G192)</f>
        <v>0</v>
      </c>
      <c r="N38" s="263">
        <f>SUM(H181:H192)</f>
        <v>0</v>
      </c>
      <c r="O38" s="264">
        <f>SUM(I181:I192)</f>
        <v>0</v>
      </c>
    </row>
    <row r="39" spans="2:15">
      <c r="B39" s="233">
        <f t="shared" si="6"/>
        <v>15</v>
      </c>
      <c r="C39" s="243">
        <f t="shared" si="7"/>
        <v>45717</v>
      </c>
      <c r="D39" s="234">
        <f t="shared" si="8"/>
        <v>1107.6319082816126</v>
      </c>
      <c r="E39" s="234">
        <f t="shared" si="0"/>
        <v>19.318630377202425</v>
      </c>
      <c r="F39" s="234">
        <f t="shared" si="1"/>
        <v>0</v>
      </c>
      <c r="G39" s="234">
        <f t="shared" si="2"/>
        <v>19.318630377202425</v>
      </c>
      <c r="H39" s="234">
        <f t="shared" si="3"/>
        <v>12.857444245559684</v>
      </c>
      <c r="I39" s="234">
        <f t="shared" si="4"/>
        <v>6.4611861316427408</v>
      </c>
      <c r="J39" s="234">
        <f t="shared" si="5"/>
        <v>1094.7744640360529</v>
      </c>
      <c r="K39" s="234"/>
      <c r="L39" s="262" t="s">
        <v>211</v>
      </c>
      <c r="M39" s="263">
        <f>SUM(G193:G204)</f>
        <v>0</v>
      </c>
      <c r="N39" s="263">
        <f>SUM(H193:H204)</f>
        <v>0</v>
      </c>
      <c r="O39" s="264">
        <f>SUM(I193:I204)</f>
        <v>0</v>
      </c>
    </row>
    <row r="40" spans="2:15">
      <c r="B40" s="233">
        <f t="shared" si="6"/>
        <v>16</v>
      </c>
      <c r="C40" s="243">
        <f t="shared" si="7"/>
        <v>45748</v>
      </c>
      <c r="D40" s="234">
        <f t="shared" si="8"/>
        <v>1094.7744640360529</v>
      </c>
      <c r="E40" s="234">
        <f t="shared" si="0"/>
        <v>19.318630377202425</v>
      </c>
      <c r="F40" s="234">
        <f t="shared" si="1"/>
        <v>0</v>
      </c>
      <c r="G40" s="234">
        <f t="shared" si="2"/>
        <v>19.318630377202425</v>
      </c>
      <c r="H40" s="234">
        <f t="shared" si="3"/>
        <v>12.932446003658782</v>
      </c>
      <c r="I40" s="234">
        <f t="shared" si="4"/>
        <v>6.3861843735436423</v>
      </c>
      <c r="J40" s="234">
        <f t="shared" si="5"/>
        <v>1081.8420180323942</v>
      </c>
      <c r="K40" s="234"/>
      <c r="L40" s="262" t="s">
        <v>212</v>
      </c>
      <c r="M40" s="263">
        <f>SUM(G205:G216)</f>
        <v>0</v>
      </c>
      <c r="N40" s="263">
        <f>SUM(H205:H216)</f>
        <v>0</v>
      </c>
      <c r="O40" s="264">
        <f>SUM(I205:I216)</f>
        <v>0</v>
      </c>
    </row>
    <row r="41" spans="2:15">
      <c r="B41" s="233">
        <f t="shared" si="6"/>
        <v>17</v>
      </c>
      <c r="C41" s="243">
        <f t="shared" si="7"/>
        <v>45778</v>
      </c>
      <c r="D41" s="234">
        <f t="shared" si="8"/>
        <v>1081.8420180323942</v>
      </c>
      <c r="E41" s="234">
        <f t="shared" si="0"/>
        <v>19.318630377202425</v>
      </c>
      <c r="F41" s="234">
        <f t="shared" si="1"/>
        <v>0</v>
      </c>
      <c r="G41" s="234">
        <f t="shared" si="2"/>
        <v>19.318630377202425</v>
      </c>
      <c r="H41" s="234">
        <f t="shared" si="3"/>
        <v>13.007885272013457</v>
      </c>
      <c r="I41" s="234">
        <f t="shared" si="4"/>
        <v>6.3107451051889667</v>
      </c>
      <c r="J41" s="234">
        <f t="shared" si="5"/>
        <v>1068.8341327603807</v>
      </c>
      <c r="K41" s="234"/>
      <c r="L41" s="262" t="s">
        <v>213</v>
      </c>
      <c r="M41" s="263">
        <f>SUM(G217:G228)</f>
        <v>0</v>
      </c>
      <c r="N41" s="263">
        <f>SUM(H217:H228)</f>
        <v>0</v>
      </c>
      <c r="O41" s="264">
        <f>SUM(I217:I228)</f>
        <v>0</v>
      </c>
    </row>
    <row r="42" spans="2:15">
      <c r="B42" s="233">
        <f t="shared" si="6"/>
        <v>18</v>
      </c>
      <c r="C42" s="243">
        <f t="shared" si="7"/>
        <v>45809</v>
      </c>
      <c r="D42" s="234">
        <f t="shared" si="8"/>
        <v>1068.8341327603807</v>
      </c>
      <c r="E42" s="234">
        <f t="shared" si="0"/>
        <v>19.318630377202425</v>
      </c>
      <c r="F42" s="234">
        <f t="shared" si="1"/>
        <v>0</v>
      </c>
      <c r="G42" s="234">
        <f t="shared" si="2"/>
        <v>19.318630377202425</v>
      </c>
      <c r="H42" s="234">
        <f t="shared" si="3"/>
        <v>13.08376460276687</v>
      </c>
      <c r="I42" s="234">
        <f t="shared" si="4"/>
        <v>6.2348657744355549</v>
      </c>
      <c r="J42" s="234">
        <f t="shared" si="5"/>
        <v>1055.7503681576138</v>
      </c>
      <c r="K42" s="234"/>
      <c r="L42" s="262" t="s">
        <v>214</v>
      </c>
      <c r="M42" s="263">
        <f>SUM(G229:G240)</f>
        <v>0</v>
      </c>
      <c r="N42" s="263">
        <f>SUM(H229:H240)</f>
        <v>0</v>
      </c>
      <c r="O42" s="264">
        <f>SUM(I229:I240)</f>
        <v>0</v>
      </c>
    </row>
    <row r="43" spans="2:15">
      <c r="B43" s="233">
        <f t="shared" si="6"/>
        <v>19</v>
      </c>
      <c r="C43" s="243">
        <f t="shared" si="7"/>
        <v>45839</v>
      </c>
      <c r="D43" s="234">
        <f t="shared" si="8"/>
        <v>1055.7503681576138</v>
      </c>
      <c r="E43" s="234">
        <f t="shared" si="0"/>
        <v>19.318630377202425</v>
      </c>
      <c r="F43" s="234">
        <f t="shared" si="1"/>
        <v>0</v>
      </c>
      <c r="G43" s="234">
        <f t="shared" si="2"/>
        <v>19.318630377202425</v>
      </c>
      <c r="H43" s="234">
        <f t="shared" si="3"/>
        <v>13.160086562949676</v>
      </c>
      <c r="I43" s="234">
        <f t="shared" si="4"/>
        <v>6.1585438142527478</v>
      </c>
      <c r="J43" s="234">
        <f t="shared" si="5"/>
        <v>1042.5902815946642</v>
      </c>
      <c r="K43" s="234"/>
      <c r="L43" s="262" t="s">
        <v>215</v>
      </c>
      <c r="M43" s="263">
        <f>SUM(G241:G252)</f>
        <v>0</v>
      </c>
      <c r="N43" s="263">
        <f>SUM(H241:H252)</f>
        <v>0</v>
      </c>
      <c r="O43" s="264">
        <f>SUM(I241:I252)</f>
        <v>0</v>
      </c>
    </row>
    <row r="44" spans="2:15">
      <c r="B44" s="233">
        <f t="shared" si="6"/>
        <v>20</v>
      </c>
      <c r="C44" s="243">
        <f t="shared" si="7"/>
        <v>45870</v>
      </c>
      <c r="D44" s="234">
        <f t="shared" si="8"/>
        <v>1042.5902815946642</v>
      </c>
      <c r="E44" s="234">
        <f t="shared" si="0"/>
        <v>19.318630377202425</v>
      </c>
      <c r="F44" s="234">
        <f t="shared" si="1"/>
        <v>0</v>
      </c>
      <c r="G44" s="234">
        <f t="shared" si="2"/>
        <v>19.318630377202425</v>
      </c>
      <c r="H44" s="234">
        <f t="shared" si="3"/>
        <v>13.236853734566882</v>
      </c>
      <c r="I44" s="234">
        <f t="shared" si="4"/>
        <v>6.0817766426355417</v>
      </c>
      <c r="J44" s="234">
        <f t="shared" si="5"/>
        <v>1029.3534278600973</v>
      </c>
      <c r="K44" s="234"/>
      <c r="L44" s="262" t="s">
        <v>216</v>
      </c>
      <c r="M44" s="263">
        <f>SUM(G253:G264)</f>
        <v>0</v>
      </c>
      <c r="N44" s="263">
        <f>SUM(H253:H264)</f>
        <v>0</v>
      </c>
      <c r="O44" s="264">
        <f>SUM(I253:I264)</f>
        <v>0</v>
      </c>
    </row>
    <row r="45" spans="2:15">
      <c r="B45" s="233">
        <f t="shared" si="6"/>
        <v>21</v>
      </c>
      <c r="C45" s="243">
        <f t="shared" si="7"/>
        <v>45901</v>
      </c>
      <c r="D45" s="234">
        <f t="shared" si="8"/>
        <v>1029.3534278600973</v>
      </c>
      <c r="E45" s="234">
        <f t="shared" si="0"/>
        <v>19.318630377202425</v>
      </c>
      <c r="F45" s="234">
        <f t="shared" si="1"/>
        <v>0</v>
      </c>
      <c r="G45" s="234">
        <f t="shared" si="2"/>
        <v>19.318630377202425</v>
      </c>
      <c r="H45" s="234">
        <f t="shared" si="3"/>
        <v>13.314068714685188</v>
      </c>
      <c r="I45" s="234">
        <f t="shared" si="4"/>
        <v>6.0045616625172356</v>
      </c>
      <c r="J45" s="234">
        <f t="shared" si="5"/>
        <v>1016.0393591454122</v>
      </c>
      <c r="K45" s="234"/>
      <c r="L45" s="262" t="s">
        <v>217</v>
      </c>
      <c r="M45" s="263">
        <f>SUM(G265:G276)</f>
        <v>0</v>
      </c>
      <c r="N45" s="263">
        <f>SUM(H265:H276)</f>
        <v>0</v>
      </c>
      <c r="O45" s="264">
        <f>SUM(I265:I276)</f>
        <v>0</v>
      </c>
    </row>
    <row r="46" spans="2:15">
      <c r="B46" s="233">
        <f t="shared" si="6"/>
        <v>22</v>
      </c>
      <c r="C46" s="243">
        <f t="shared" si="7"/>
        <v>45931</v>
      </c>
      <c r="D46" s="234">
        <f t="shared" si="8"/>
        <v>1016.0393591454122</v>
      </c>
      <c r="E46" s="234">
        <f t="shared" si="0"/>
        <v>19.318630377202425</v>
      </c>
      <c r="F46" s="234">
        <f t="shared" si="1"/>
        <v>0</v>
      </c>
      <c r="G46" s="234">
        <f t="shared" si="2"/>
        <v>19.318630377202425</v>
      </c>
      <c r="H46" s="234">
        <f t="shared" si="3"/>
        <v>13.391734115520855</v>
      </c>
      <c r="I46" s="234">
        <f t="shared" si="4"/>
        <v>5.9268962616815708</v>
      </c>
      <c r="J46" s="234">
        <f t="shared" si="5"/>
        <v>1002.6476250298913</v>
      </c>
      <c r="K46" s="234"/>
      <c r="L46" s="262" t="s">
        <v>218</v>
      </c>
      <c r="M46" s="263">
        <f>SUM(G277:G288)</f>
        <v>0</v>
      </c>
      <c r="N46" s="263">
        <f>SUM(H277:H288)</f>
        <v>0</v>
      </c>
      <c r="O46" s="264">
        <f>SUM(I277:I288)</f>
        <v>0</v>
      </c>
    </row>
    <row r="47" spans="2:15">
      <c r="B47" s="233">
        <f t="shared" si="6"/>
        <v>23</v>
      </c>
      <c r="C47" s="243">
        <f t="shared" si="7"/>
        <v>45962</v>
      </c>
      <c r="D47" s="234">
        <f t="shared" si="8"/>
        <v>1002.6476250298913</v>
      </c>
      <c r="E47" s="234">
        <f t="shared" si="0"/>
        <v>19.318630377202425</v>
      </c>
      <c r="F47" s="234">
        <f t="shared" si="1"/>
        <v>0</v>
      </c>
      <c r="G47" s="234">
        <f t="shared" si="2"/>
        <v>19.318630377202425</v>
      </c>
      <c r="H47" s="234">
        <f t="shared" si="3"/>
        <v>13.469852564528058</v>
      </c>
      <c r="I47" s="234">
        <f t="shared" si="4"/>
        <v>5.8487778126743661</v>
      </c>
      <c r="J47" s="234">
        <f t="shared" si="5"/>
        <v>989.1777724653632</v>
      </c>
      <c r="K47" s="234"/>
      <c r="L47" s="262" t="s">
        <v>219</v>
      </c>
      <c r="M47" s="263">
        <f>SUM(G289:G300)</f>
        <v>0</v>
      </c>
      <c r="N47" s="263">
        <f>SUM(H289:H300)</f>
        <v>0</v>
      </c>
      <c r="O47" s="264">
        <f>SUM(I289:I300)</f>
        <v>0</v>
      </c>
    </row>
    <row r="48" spans="2:15">
      <c r="B48" s="233">
        <f t="shared" si="6"/>
        <v>24</v>
      </c>
      <c r="C48" s="243">
        <f t="shared" si="7"/>
        <v>45992</v>
      </c>
      <c r="D48" s="234">
        <f t="shared" si="8"/>
        <v>989.1777724653632</v>
      </c>
      <c r="E48" s="234">
        <f t="shared" si="0"/>
        <v>19.318630377202425</v>
      </c>
      <c r="F48" s="234">
        <f t="shared" si="1"/>
        <v>0</v>
      </c>
      <c r="G48" s="234">
        <f t="shared" si="2"/>
        <v>19.318630377202425</v>
      </c>
      <c r="H48" s="234">
        <f t="shared" si="3"/>
        <v>13.548426704487806</v>
      </c>
      <c r="I48" s="234">
        <f t="shared" si="4"/>
        <v>5.7702036727146195</v>
      </c>
      <c r="J48" s="234">
        <f t="shared" si="5"/>
        <v>975.62934576087537</v>
      </c>
      <c r="K48" s="234"/>
      <c r="L48" s="262" t="s">
        <v>220</v>
      </c>
      <c r="M48" s="263">
        <f>SUM(G301:G312)</f>
        <v>0</v>
      </c>
      <c r="N48" s="263">
        <f>SUM(H301:H312)</f>
        <v>0</v>
      </c>
      <c r="O48" s="264">
        <f>SUM(I301:I312)</f>
        <v>0</v>
      </c>
    </row>
    <row r="49" spans="2:15">
      <c r="B49" s="233">
        <f t="shared" si="6"/>
        <v>25</v>
      </c>
      <c r="C49" s="243">
        <f t="shared" si="7"/>
        <v>46023</v>
      </c>
      <c r="D49" s="234">
        <f t="shared" si="8"/>
        <v>975.62934576087537</v>
      </c>
      <c r="E49" s="234">
        <f t="shared" si="0"/>
        <v>19.318630377202425</v>
      </c>
      <c r="F49" s="234">
        <f t="shared" si="1"/>
        <v>0</v>
      </c>
      <c r="G49" s="234">
        <f t="shared" si="2"/>
        <v>19.318630377202425</v>
      </c>
      <c r="H49" s="234">
        <f t="shared" si="3"/>
        <v>13.627459193597318</v>
      </c>
      <c r="I49" s="234">
        <f t="shared" si="4"/>
        <v>5.6911711836051069</v>
      </c>
      <c r="J49" s="234">
        <f t="shared" si="5"/>
        <v>962.00188656727801</v>
      </c>
      <c r="K49" s="234"/>
      <c r="L49" s="262" t="s">
        <v>221</v>
      </c>
      <c r="M49" s="263">
        <f>SUM(G313:G324)</f>
        <v>0</v>
      </c>
      <c r="N49" s="263">
        <f>SUM(H313:H324)</f>
        <v>0</v>
      </c>
      <c r="O49" s="264">
        <f>SUM(I313:I324)</f>
        <v>0</v>
      </c>
    </row>
    <row r="50" spans="2:15">
      <c r="B50" s="233">
        <f t="shared" si="6"/>
        <v>26</v>
      </c>
      <c r="C50" s="243">
        <f t="shared" si="7"/>
        <v>46054</v>
      </c>
      <c r="D50" s="234">
        <f t="shared" si="8"/>
        <v>962.00188656727801</v>
      </c>
      <c r="E50" s="234">
        <f t="shared" si="0"/>
        <v>19.318630377202425</v>
      </c>
      <c r="F50" s="234">
        <f t="shared" si="1"/>
        <v>0</v>
      </c>
      <c r="G50" s="234">
        <f t="shared" si="2"/>
        <v>19.318630377202425</v>
      </c>
      <c r="H50" s="234">
        <f t="shared" si="3"/>
        <v>13.706952705559971</v>
      </c>
      <c r="I50" s="234">
        <f t="shared" si="4"/>
        <v>5.6116776716424548</v>
      </c>
      <c r="J50" s="234">
        <f t="shared" si="5"/>
        <v>948.29493386171805</v>
      </c>
      <c r="K50" s="234"/>
      <c r="L50" s="262" t="s">
        <v>222</v>
      </c>
      <c r="M50" s="263">
        <f>SUM(G325:G336)</f>
        <v>0</v>
      </c>
      <c r="N50" s="263">
        <f>SUM(H325:H336)</f>
        <v>0</v>
      </c>
      <c r="O50" s="264">
        <f>SUM(I325:I336)</f>
        <v>0</v>
      </c>
    </row>
    <row r="51" spans="2:15">
      <c r="B51" s="233">
        <f t="shared" si="6"/>
        <v>27</v>
      </c>
      <c r="C51" s="243">
        <f t="shared" si="7"/>
        <v>46082</v>
      </c>
      <c r="D51" s="234">
        <f t="shared" si="8"/>
        <v>948.29493386171805</v>
      </c>
      <c r="E51" s="234">
        <f t="shared" si="0"/>
        <v>19.318630377202425</v>
      </c>
      <c r="F51" s="234">
        <f t="shared" si="1"/>
        <v>0</v>
      </c>
      <c r="G51" s="234">
        <f t="shared" si="2"/>
        <v>19.318630377202425</v>
      </c>
      <c r="H51" s="234">
        <f t="shared" si="3"/>
        <v>13.786909929675737</v>
      </c>
      <c r="I51" s="234">
        <f t="shared" si="4"/>
        <v>5.5317204475266886</v>
      </c>
      <c r="J51" s="234">
        <f t="shared" si="5"/>
        <v>934.50802393204231</v>
      </c>
      <c r="K51" s="234"/>
      <c r="L51" s="262" t="s">
        <v>223</v>
      </c>
      <c r="M51" s="263">
        <f>SUM(G337:G348)</f>
        <v>0</v>
      </c>
      <c r="N51" s="263">
        <f>SUM(H337:H348)</f>
        <v>0</v>
      </c>
      <c r="O51" s="264">
        <f>SUM(I337:I348)</f>
        <v>0</v>
      </c>
    </row>
    <row r="52" spans="2:15">
      <c r="B52" s="233">
        <f t="shared" si="6"/>
        <v>28</v>
      </c>
      <c r="C52" s="243">
        <f t="shared" si="7"/>
        <v>46113</v>
      </c>
      <c r="D52" s="234">
        <f t="shared" si="8"/>
        <v>934.50802393204231</v>
      </c>
      <c r="E52" s="234">
        <f t="shared" si="0"/>
        <v>19.318630377202425</v>
      </c>
      <c r="F52" s="234">
        <f t="shared" si="1"/>
        <v>0</v>
      </c>
      <c r="G52" s="234">
        <f t="shared" si="2"/>
        <v>19.318630377202425</v>
      </c>
      <c r="H52" s="234">
        <f t="shared" si="3"/>
        <v>13.867333570932178</v>
      </c>
      <c r="I52" s="234">
        <f t="shared" si="4"/>
        <v>5.4512968062702472</v>
      </c>
      <c r="J52" s="234">
        <f t="shared" si="5"/>
        <v>920.64069036111016</v>
      </c>
      <c r="K52" s="234"/>
      <c r="L52" s="262" t="s">
        <v>224</v>
      </c>
      <c r="M52" s="263">
        <f>SUM(G349:G360)</f>
        <v>0</v>
      </c>
      <c r="N52" s="263">
        <f>SUM(H349:H360)</f>
        <v>0</v>
      </c>
      <c r="O52" s="264">
        <f>SUM(I349:I360)</f>
        <v>0</v>
      </c>
    </row>
    <row r="53" spans="2:15">
      <c r="B53" s="233">
        <f t="shared" si="6"/>
        <v>29</v>
      </c>
      <c r="C53" s="243">
        <f t="shared" si="7"/>
        <v>46143</v>
      </c>
      <c r="D53" s="234">
        <f t="shared" si="8"/>
        <v>920.64069036111016</v>
      </c>
      <c r="E53" s="234">
        <f t="shared" si="0"/>
        <v>19.318630377202425</v>
      </c>
      <c r="F53" s="234">
        <f t="shared" si="1"/>
        <v>0</v>
      </c>
      <c r="G53" s="234">
        <f t="shared" si="2"/>
        <v>19.318630377202425</v>
      </c>
      <c r="H53" s="234">
        <f t="shared" si="3"/>
        <v>13.948226350095947</v>
      </c>
      <c r="I53" s="234">
        <f t="shared" si="4"/>
        <v>5.3704040271064768</v>
      </c>
      <c r="J53" s="234">
        <f t="shared" si="5"/>
        <v>906.69246401101418</v>
      </c>
      <c r="K53" s="234"/>
      <c r="L53" s="262" t="s">
        <v>225</v>
      </c>
      <c r="M53" s="263">
        <f>SUM(G361:G372)</f>
        <v>0</v>
      </c>
      <c r="N53" s="263">
        <f>SUM(H361:H372)</f>
        <v>0</v>
      </c>
      <c r="O53" s="264">
        <f>SUM(I361:I372)</f>
        <v>0</v>
      </c>
    </row>
    <row r="54" spans="2:15" ht="13.8" thickBot="1">
      <c r="B54" s="233">
        <f t="shared" si="6"/>
        <v>30</v>
      </c>
      <c r="C54" s="243">
        <f t="shared" si="7"/>
        <v>46174</v>
      </c>
      <c r="D54" s="234">
        <f t="shared" si="8"/>
        <v>906.69246401101418</v>
      </c>
      <c r="E54" s="234">
        <f t="shared" si="0"/>
        <v>19.318630377202425</v>
      </c>
      <c r="F54" s="234">
        <f t="shared" si="1"/>
        <v>0</v>
      </c>
      <c r="G54" s="234">
        <f t="shared" si="2"/>
        <v>19.318630377202425</v>
      </c>
      <c r="H54" s="234">
        <f t="shared" si="3"/>
        <v>14.029591003804843</v>
      </c>
      <c r="I54" s="234">
        <f t="shared" si="4"/>
        <v>5.2890393733975829</v>
      </c>
      <c r="J54" s="234">
        <f t="shared" si="5"/>
        <v>892.66287300720933</v>
      </c>
      <c r="K54" s="234"/>
      <c r="L54" s="265" t="s">
        <v>226</v>
      </c>
      <c r="M54" s="266">
        <f>SUM(G373:G384)</f>
        <v>0</v>
      </c>
      <c r="N54" s="266">
        <f>SUM(H373:H384)</f>
        <v>0</v>
      </c>
      <c r="O54" s="267">
        <f>SUM(I373:I384)</f>
        <v>0</v>
      </c>
    </row>
    <row r="55" spans="2:15">
      <c r="B55" s="233">
        <f t="shared" si="6"/>
        <v>31</v>
      </c>
      <c r="C55" s="243">
        <f t="shared" si="7"/>
        <v>46204</v>
      </c>
      <c r="D55" s="234">
        <f t="shared" si="8"/>
        <v>892.66287300720933</v>
      </c>
      <c r="E55" s="234">
        <f t="shared" si="0"/>
        <v>19.318630377202425</v>
      </c>
      <c r="F55" s="234">
        <f t="shared" si="1"/>
        <v>0</v>
      </c>
      <c r="G55" s="234">
        <f t="shared" si="2"/>
        <v>19.318630377202425</v>
      </c>
      <c r="H55" s="234">
        <f t="shared" si="3"/>
        <v>14.111430284660369</v>
      </c>
      <c r="I55" s="234">
        <f t="shared" si="4"/>
        <v>5.2072000925420552</v>
      </c>
      <c r="J55" s="234">
        <f t="shared" si="5"/>
        <v>878.55144272254893</v>
      </c>
      <c r="K55" s="234"/>
      <c r="L55" s="227"/>
      <c r="M55" s="268"/>
      <c r="N55" s="268"/>
      <c r="O55" s="268"/>
    </row>
    <row r="56" spans="2:15">
      <c r="B56" s="233">
        <f t="shared" si="6"/>
        <v>32</v>
      </c>
      <c r="C56" s="243">
        <f t="shared" si="7"/>
        <v>46235</v>
      </c>
      <c r="D56" s="234">
        <f t="shared" si="8"/>
        <v>878.55144272254893</v>
      </c>
      <c r="E56" s="234">
        <f t="shared" si="0"/>
        <v>19.318630377202425</v>
      </c>
      <c r="F56" s="234">
        <f t="shared" si="1"/>
        <v>0</v>
      </c>
      <c r="G56" s="234">
        <f t="shared" si="2"/>
        <v>19.318630377202425</v>
      </c>
      <c r="H56" s="234">
        <f t="shared" si="3"/>
        <v>14.193746961320889</v>
      </c>
      <c r="I56" s="234">
        <f t="shared" si="4"/>
        <v>5.124883415881536</v>
      </c>
      <c r="J56" s="234">
        <f t="shared" si="5"/>
        <v>864.357695761228</v>
      </c>
      <c r="K56" s="234"/>
      <c r="L56" s="234"/>
      <c r="M56" s="234"/>
      <c r="N56" s="234"/>
      <c r="O56" s="234"/>
    </row>
    <row r="57" spans="2:15">
      <c r="B57" s="233">
        <f t="shared" si="6"/>
        <v>33</v>
      </c>
      <c r="C57" s="243">
        <f t="shared" si="7"/>
        <v>46266</v>
      </c>
      <c r="D57" s="234">
        <f t="shared" si="8"/>
        <v>864.357695761228</v>
      </c>
      <c r="E57" s="234">
        <f t="shared" si="0"/>
        <v>19.318630377202425</v>
      </c>
      <c r="F57" s="234">
        <f t="shared" si="1"/>
        <v>0</v>
      </c>
      <c r="G57" s="234">
        <f t="shared" si="2"/>
        <v>19.318630377202425</v>
      </c>
      <c r="H57" s="234">
        <f t="shared" si="3"/>
        <v>14.276543818595261</v>
      </c>
      <c r="I57" s="234">
        <f t="shared" si="4"/>
        <v>5.0420865586071644</v>
      </c>
      <c r="J57" s="234">
        <f t="shared" si="5"/>
        <v>850.08115194263269</v>
      </c>
      <c r="K57" s="234"/>
      <c r="L57" s="234"/>
      <c r="M57" s="234"/>
      <c r="N57" s="234"/>
      <c r="O57" s="234"/>
    </row>
    <row r="58" spans="2:15">
      <c r="B58" s="233">
        <f t="shared" si="6"/>
        <v>34</v>
      </c>
      <c r="C58" s="243">
        <f t="shared" si="7"/>
        <v>46296</v>
      </c>
      <c r="D58" s="234">
        <f t="shared" si="8"/>
        <v>850.08115194263269</v>
      </c>
      <c r="E58" s="234">
        <f t="shared" si="0"/>
        <v>19.318630377202425</v>
      </c>
      <c r="F58" s="234">
        <f t="shared" si="1"/>
        <v>0</v>
      </c>
      <c r="G58" s="234">
        <f t="shared" si="2"/>
        <v>19.318630377202425</v>
      </c>
      <c r="H58" s="234">
        <f t="shared" si="3"/>
        <v>14.359823657537067</v>
      </c>
      <c r="I58" s="234">
        <f t="shared" si="4"/>
        <v>4.9588067196653576</v>
      </c>
      <c r="J58" s="234">
        <f t="shared" si="5"/>
        <v>835.72132828509564</v>
      </c>
      <c r="K58" s="234"/>
      <c r="L58" s="234"/>
      <c r="M58" s="234"/>
      <c r="N58" s="234"/>
      <c r="O58" s="234"/>
    </row>
    <row r="59" spans="2:15">
      <c r="B59" s="233">
        <f t="shared" si="6"/>
        <v>35</v>
      </c>
      <c r="C59" s="243">
        <f t="shared" si="7"/>
        <v>46327</v>
      </c>
      <c r="D59" s="234">
        <f t="shared" si="8"/>
        <v>835.72132828509564</v>
      </c>
      <c r="E59" s="234">
        <f t="shared" si="0"/>
        <v>19.318630377202425</v>
      </c>
      <c r="F59" s="234">
        <f t="shared" si="1"/>
        <v>0</v>
      </c>
      <c r="G59" s="234">
        <f t="shared" si="2"/>
        <v>19.318630377202425</v>
      </c>
      <c r="H59" s="234">
        <f t="shared" si="3"/>
        <v>14.443589295539365</v>
      </c>
      <c r="I59" s="234">
        <f t="shared" si="4"/>
        <v>4.8750410816630589</v>
      </c>
      <c r="J59" s="234">
        <f t="shared" si="5"/>
        <v>821.27773898955627</v>
      </c>
      <c r="K59" s="234"/>
      <c r="L59" s="234"/>
      <c r="M59" s="234"/>
      <c r="N59" s="234"/>
      <c r="O59" s="234"/>
    </row>
    <row r="60" spans="2:15">
      <c r="B60" s="233">
        <f t="shared" si="6"/>
        <v>36</v>
      </c>
      <c r="C60" s="243">
        <f t="shared" si="7"/>
        <v>46357</v>
      </c>
      <c r="D60" s="234">
        <f t="shared" si="8"/>
        <v>821.27773898955627</v>
      </c>
      <c r="E60" s="234">
        <f t="shared" si="0"/>
        <v>19.318630377202425</v>
      </c>
      <c r="F60" s="234">
        <f t="shared" si="1"/>
        <v>0</v>
      </c>
      <c r="G60" s="234">
        <f t="shared" si="2"/>
        <v>19.318630377202425</v>
      </c>
      <c r="H60" s="234">
        <f t="shared" si="3"/>
        <v>14.527843566430011</v>
      </c>
      <c r="I60" s="234">
        <f t="shared" si="4"/>
        <v>4.7907868107724125</v>
      </c>
      <c r="J60" s="234">
        <f t="shared" si="5"/>
        <v>806.7498954231263</v>
      </c>
      <c r="K60" s="234"/>
      <c r="L60" s="234"/>
      <c r="M60" s="234"/>
      <c r="N60" s="234"/>
      <c r="O60" s="234"/>
    </row>
    <row r="61" spans="2:15">
      <c r="B61" s="233">
        <f t="shared" si="6"/>
        <v>37</v>
      </c>
      <c r="C61" s="243">
        <f t="shared" si="7"/>
        <v>46388</v>
      </c>
      <c r="D61" s="234">
        <f t="shared" si="8"/>
        <v>806.7498954231263</v>
      </c>
      <c r="E61" s="234">
        <f t="shared" si="0"/>
        <v>19.318630377202425</v>
      </c>
      <c r="F61" s="234">
        <f t="shared" si="1"/>
        <v>0</v>
      </c>
      <c r="G61" s="234">
        <f t="shared" si="2"/>
        <v>19.318630377202425</v>
      </c>
      <c r="H61" s="234">
        <f t="shared" si="3"/>
        <v>14.612589320567521</v>
      </c>
      <c r="I61" s="234">
        <f t="shared" si="4"/>
        <v>4.7060410566349038</v>
      </c>
      <c r="J61" s="234">
        <f t="shared" si="5"/>
        <v>792.1373061025588</v>
      </c>
      <c r="K61" s="234"/>
      <c r="L61" s="234"/>
      <c r="M61" s="234"/>
      <c r="N61" s="234"/>
      <c r="O61" s="234"/>
    </row>
    <row r="62" spans="2:15">
      <c r="B62" s="233">
        <f t="shared" si="6"/>
        <v>38</v>
      </c>
      <c r="C62" s="243">
        <f t="shared" si="7"/>
        <v>46419</v>
      </c>
      <c r="D62" s="234">
        <f t="shared" si="8"/>
        <v>792.1373061025588</v>
      </c>
      <c r="E62" s="234">
        <f t="shared" si="0"/>
        <v>19.318630377202425</v>
      </c>
      <c r="F62" s="234">
        <f t="shared" si="1"/>
        <v>0</v>
      </c>
      <c r="G62" s="234">
        <f t="shared" si="2"/>
        <v>19.318630377202425</v>
      </c>
      <c r="H62" s="234">
        <f t="shared" si="3"/>
        <v>14.697829424937499</v>
      </c>
      <c r="I62" s="234">
        <f t="shared" si="4"/>
        <v>4.6208009522649265</v>
      </c>
      <c r="J62" s="234">
        <f t="shared" si="5"/>
        <v>777.43947667762131</v>
      </c>
      <c r="K62" s="234"/>
      <c r="L62" s="234"/>
      <c r="M62" s="234"/>
      <c r="N62" s="234"/>
      <c r="O62" s="234"/>
    </row>
    <row r="63" spans="2:15">
      <c r="B63" s="233">
        <f t="shared" si="6"/>
        <v>39</v>
      </c>
      <c r="C63" s="243">
        <f t="shared" si="7"/>
        <v>46447</v>
      </c>
      <c r="D63" s="234">
        <f t="shared" si="8"/>
        <v>777.43947667762131</v>
      </c>
      <c r="E63" s="234">
        <f t="shared" si="0"/>
        <v>19.318630377202425</v>
      </c>
      <c r="F63" s="234">
        <f t="shared" si="1"/>
        <v>0</v>
      </c>
      <c r="G63" s="234">
        <f t="shared" si="2"/>
        <v>19.318630377202425</v>
      </c>
      <c r="H63" s="234">
        <f t="shared" si="3"/>
        <v>14.783566763249635</v>
      </c>
      <c r="I63" s="234">
        <f t="shared" si="4"/>
        <v>4.5350636139527909</v>
      </c>
      <c r="J63" s="234">
        <f t="shared" si="5"/>
        <v>762.6559099143717</v>
      </c>
      <c r="K63" s="234"/>
      <c r="L63" s="234"/>
      <c r="M63" s="234"/>
      <c r="N63" s="234"/>
      <c r="O63" s="234"/>
    </row>
    <row r="64" spans="2:15">
      <c r="B64" s="233">
        <f t="shared" si="6"/>
        <v>40</v>
      </c>
      <c r="C64" s="243">
        <f t="shared" si="7"/>
        <v>46478</v>
      </c>
      <c r="D64" s="234">
        <f t="shared" si="8"/>
        <v>762.6559099143717</v>
      </c>
      <c r="E64" s="234">
        <f t="shared" si="0"/>
        <v>19.318630377202425</v>
      </c>
      <c r="F64" s="234">
        <f t="shared" si="1"/>
        <v>0</v>
      </c>
      <c r="G64" s="234">
        <f t="shared" si="2"/>
        <v>19.318630377202425</v>
      </c>
      <c r="H64" s="234">
        <f t="shared" si="3"/>
        <v>14.869804236035257</v>
      </c>
      <c r="I64" s="234">
        <f t="shared" si="4"/>
        <v>4.4488261411671681</v>
      </c>
      <c r="J64" s="234">
        <f t="shared" si="5"/>
        <v>747.78610567833641</v>
      </c>
      <c r="K64" s="234"/>
      <c r="L64" s="234"/>
      <c r="M64" s="234"/>
      <c r="N64" s="234"/>
      <c r="O64" s="234"/>
    </row>
    <row r="65" spans="2:15">
      <c r="B65" s="233">
        <f t="shared" si="6"/>
        <v>41</v>
      </c>
      <c r="C65" s="243">
        <f t="shared" si="7"/>
        <v>46508</v>
      </c>
      <c r="D65" s="234">
        <f t="shared" si="8"/>
        <v>747.78610567833641</v>
      </c>
      <c r="E65" s="234">
        <f t="shared" si="0"/>
        <v>19.318630377202425</v>
      </c>
      <c r="F65" s="234">
        <f t="shared" si="1"/>
        <v>0</v>
      </c>
      <c r="G65" s="234">
        <f t="shared" si="2"/>
        <v>19.318630377202425</v>
      </c>
      <c r="H65" s="234">
        <f t="shared" si="3"/>
        <v>14.956544760745462</v>
      </c>
      <c r="I65" s="234">
        <f t="shared" si="4"/>
        <v>4.3620856164569632</v>
      </c>
      <c r="J65" s="234">
        <f t="shared" si="5"/>
        <v>732.82956091759092</v>
      </c>
      <c r="K65" s="234"/>
      <c r="L65" s="234"/>
      <c r="M65" s="234"/>
      <c r="N65" s="234"/>
      <c r="O65" s="234"/>
    </row>
    <row r="66" spans="2:15">
      <c r="B66" s="233">
        <f t="shared" si="6"/>
        <v>42</v>
      </c>
      <c r="C66" s="243">
        <f t="shared" si="7"/>
        <v>46539</v>
      </c>
      <c r="D66" s="234">
        <f t="shared" si="8"/>
        <v>732.82956091759092</v>
      </c>
      <c r="E66" s="234">
        <f t="shared" si="0"/>
        <v>19.318630377202425</v>
      </c>
      <c r="F66" s="234">
        <f t="shared" si="1"/>
        <v>0</v>
      </c>
      <c r="G66" s="234">
        <f t="shared" si="2"/>
        <v>19.318630377202425</v>
      </c>
      <c r="H66" s="234">
        <f t="shared" si="3"/>
        <v>15.043791271849809</v>
      </c>
      <c r="I66" s="234">
        <f t="shared" si="4"/>
        <v>4.2748391053526147</v>
      </c>
      <c r="J66" s="234">
        <f t="shared" si="5"/>
        <v>717.78576964574108</v>
      </c>
      <c r="K66" s="234"/>
      <c r="L66" s="234"/>
      <c r="M66" s="234"/>
      <c r="N66" s="234"/>
      <c r="O66" s="234"/>
    </row>
    <row r="67" spans="2:15">
      <c r="B67" s="233">
        <f t="shared" si="6"/>
        <v>43</v>
      </c>
      <c r="C67" s="243">
        <f t="shared" si="7"/>
        <v>46569</v>
      </c>
      <c r="D67" s="234">
        <f t="shared" si="8"/>
        <v>717.78576964574108</v>
      </c>
      <c r="E67" s="234">
        <f t="shared" si="0"/>
        <v>19.318630377202425</v>
      </c>
      <c r="F67" s="234">
        <f t="shared" si="1"/>
        <v>0</v>
      </c>
      <c r="G67" s="234">
        <f t="shared" si="2"/>
        <v>19.318630377202425</v>
      </c>
      <c r="H67" s="234">
        <f t="shared" si="3"/>
        <v>15.131546720935601</v>
      </c>
      <c r="I67" s="234">
        <f t="shared" si="4"/>
        <v>4.1870836562668234</v>
      </c>
      <c r="J67" s="234">
        <f t="shared" si="5"/>
        <v>702.65422292480548</v>
      </c>
      <c r="K67" s="234"/>
      <c r="L67" s="234"/>
      <c r="M67" s="234"/>
      <c r="N67" s="234"/>
      <c r="O67" s="234"/>
    </row>
    <row r="68" spans="2:15">
      <c r="B68" s="233">
        <f t="shared" si="6"/>
        <v>44</v>
      </c>
      <c r="C68" s="243">
        <f t="shared" si="7"/>
        <v>46600</v>
      </c>
      <c r="D68" s="234">
        <f t="shared" si="8"/>
        <v>702.65422292480548</v>
      </c>
      <c r="E68" s="234">
        <f t="shared" si="0"/>
        <v>19.318630377202425</v>
      </c>
      <c r="F68" s="234">
        <f t="shared" si="1"/>
        <v>0</v>
      </c>
      <c r="G68" s="234">
        <f t="shared" si="2"/>
        <v>19.318630377202425</v>
      </c>
      <c r="H68" s="234">
        <f t="shared" si="3"/>
        <v>15.219814076807726</v>
      </c>
      <c r="I68" s="234">
        <f t="shared" si="4"/>
        <v>4.0988163003946996</v>
      </c>
      <c r="J68" s="234">
        <f t="shared" si="5"/>
        <v>687.4344088479977</v>
      </c>
      <c r="K68" s="234"/>
      <c r="L68" s="234"/>
      <c r="M68" s="234"/>
      <c r="N68" s="234"/>
      <c r="O68" s="234"/>
    </row>
    <row r="69" spans="2:15">
      <c r="B69" s="233">
        <f t="shared" si="6"/>
        <v>45</v>
      </c>
      <c r="C69" s="243">
        <f t="shared" si="7"/>
        <v>46631</v>
      </c>
      <c r="D69" s="234">
        <f t="shared" si="8"/>
        <v>687.4344088479977</v>
      </c>
      <c r="E69" s="234">
        <f t="shared" si="0"/>
        <v>19.318630377202425</v>
      </c>
      <c r="F69" s="234">
        <f t="shared" si="1"/>
        <v>0</v>
      </c>
      <c r="G69" s="234">
        <f t="shared" si="2"/>
        <v>19.318630377202425</v>
      </c>
      <c r="H69" s="234">
        <f t="shared" si="3"/>
        <v>15.308596325589104</v>
      </c>
      <c r="I69" s="234">
        <f t="shared" si="4"/>
        <v>4.0100340516133199</v>
      </c>
      <c r="J69" s="234">
        <f t="shared" si="5"/>
        <v>672.12581252240864</v>
      </c>
      <c r="K69" s="234"/>
      <c r="L69" s="234"/>
      <c r="M69" s="234"/>
      <c r="N69" s="234"/>
      <c r="O69" s="234"/>
    </row>
    <row r="70" spans="2:15">
      <c r="B70" s="233">
        <f t="shared" si="6"/>
        <v>46</v>
      </c>
      <c r="C70" s="243">
        <f t="shared" si="7"/>
        <v>46661</v>
      </c>
      <c r="D70" s="234">
        <f t="shared" si="8"/>
        <v>672.12581252240864</v>
      </c>
      <c r="E70" s="234">
        <f t="shared" si="0"/>
        <v>19.318630377202425</v>
      </c>
      <c r="F70" s="234">
        <f t="shared" si="1"/>
        <v>0</v>
      </c>
      <c r="G70" s="234">
        <f t="shared" si="2"/>
        <v>19.318630377202425</v>
      </c>
      <c r="H70" s="234">
        <f t="shared" si="3"/>
        <v>15.397896470821706</v>
      </c>
      <c r="I70" s="234">
        <f t="shared" si="4"/>
        <v>3.9207339063807178</v>
      </c>
      <c r="J70" s="234">
        <f t="shared" si="5"/>
        <v>656.72791605158693</v>
      </c>
      <c r="K70" s="234"/>
      <c r="L70" s="234"/>
      <c r="M70" s="234"/>
      <c r="N70" s="234"/>
      <c r="O70" s="234"/>
    </row>
    <row r="71" spans="2:15">
      <c r="B71" s="233">
        <f t="shared" si="6"/>
        <v>47</v>
      </c>
      <c r="C71" s="243">
        <f t="shared" si="7"/>
        <v>46692</v>
      </c>
      <c r="D71" s="234">
        <f t="shared" si="8"/>
        <v>656.72791605158693</v>
      </c>
      <c r="E71" s="234">
        <f t="shared" si="0"/>
        <v>19.318630377202425</v>
      </c>
      <c r="F71" s="234">
        <f t="shared" si="1"/>
        <v>0</v>
      </c>
      <c r="G71" s="234">
        <f t="shared" si="2"/>
        <v>19.318630377202425</v>
      </c>
      <c r="H71" s="234">
        <f t="shared" si="3"/>
        <v>15.487717533568167</v>
      </c>
      <c r="I71" s="234">
        <f t="shared" si="4"/>
        <v>3.8309128436342572</v>
      </c>
      <c r="J71" s="234">
        <f t="shared" si="5"/>
        <v>641.24019851801881</v>
      </c>
      <c r="K71" s="234"/>
      <c r="L71" s="234"/>
      <c r="M71" s="234"/>
      <c r="N71" s="234"/>
      <c r="O71" s="234"/>
    </row>
    <row r="72" spans="2:15">
      <c r="B72" s="233">
        <f t="shared" si="6"/>
        <v>48</v>
      </c>
      <c r="C72" s="243">
        <f t="shared" si="7"/>
        <v>46722</v>
      </c>
      <c r="D72" s="234">
        <f t="shared" si="8"/>
        <v>641.24019851801881</v>
      </c>
      <c r="E72" s="234">
        <f t="shared" si="0"/>
        <v>19.318630377202425</v>
      </c>
      <c r="F72" s="234">
        <f t="shared" si="1"/>
        <v>0</v>
      </c>
      <c r="G72" s="234">
        <f t="shared" si="2"/>
        <v>19.318630377202425</v>
      </c>
      <c r="H72" s="234">
        <f t="shared" si="3"/>
        <v>15.57806255251398</v>
      </c>
      <c r="I72" s="234">
        <f t="shared" si="4"/>
        <v>3.7405678246884437</v>
      </c>
      <c r="J72" s="234">
        <f t="shared" si="5"/>
        <v>625.66213596550483</v>
      </c>
      <c r="K72" s="234"/>
      <c r="L72" s="234"/>
      <c r="M72" s="234"/>
      <c r="N72" s="234"/>
      <c r="O72" s="234"/>
    </row>
    <row r="73" spans="2:15">
      <c r="B73" s="233">
        <f t="shared" si="6"/>
        <v>49</v>
      </c>
      <c r="C73" s="243">
        <f t="shared" si="7"/>
        <v>46753</v>
      </c>
      <c r="D73" s="234">
        <f t="shared" si="8"/>
        <v>625.66213596550483</v>
      </c>
      <c r="E73" s="234">
        <f t="shared" si="0"/>
        <v>19.318630377202425</v>
      </c>
      <c r="F73" s="234">
        <f t="shared" si="1"/>
        <v>0</v>
      </c>
      <c r="G73" s="234">
        <f t="shared" si="2"/>
        <v>19.318630377202425</v>
      </c>
      <c r="H73" s="234">
        <f t="shared" si="3"/>
        <v>15.668934584070312</v>
      </c>
      <c r="I73" s="234">
        <f t="shared" si="4"/>
        <v>3.6496957931321119</v>
      </c>
      <c r="J73" s="234">
        <f t="shared" si="5"/>
        <v>609.99320138143457</v>
      </c>
      <c r="K73" s="234"/>
      <c r="L73" s="234"/>
      <c r="M73" s="234"/>
      <c r="N73" s="234"/>
      <c r="O73" s="234"/>
    </row>
    <row r="74" spans="2:15">
      <c r="B74" s="233">
        <f t="shared" si="6"/>
        <v>50</v>
      </c>
      <c r="C74" s="243">
        <f t="shared" si="7"/>
        <v>46784</v>
      </c>
      <c r="D74" s="234">
        <f t="shared" si="8"/>
        <v>609.99320138143457</v>
      </c>
      <c r="E74" s="234">
        <f t="shared" si="0"/>
        <v>19.318630377202425</v>
      </c>
      <c r="F74" s="234">
        <f t="shared" si="1"/>
        <v>0</v>
      </c>
      <c r="G74" s="234">
        <f t="shared" si="2"/>
        <v>19.318630377202425</v>
      </c>
      <c r="H74" s="234">
        <f t="shared" si="3"/>
        <v>15.760336702477389</v>
      </c>
      <c r="I74" s="234">
        <f t="shared" si="4"/>
        <v>3.5582936747250353</v>
      </c>
      <c r="J74" s="234">
        <f t="shared" si="5"/>
        <v>594.23286467895718</v>
      </c>
      <c r="K74" s="234"/>
      <c r="L74" s="234"/>
      <c r="M74" s="234"/>
      <c r="N74" s="234"/>
      <c r="O74" s="234"/>
    </row>
    <row r="75" spans="2:15">
      <c r="B75" s="233">
        <f t="shared" si="6"/>
        <v>51</v>
      </c>
      <c r="C75" s="243">
        <f t="shared" si="7"/>
        <v>46813</v>
      </c>
      <c r="D75" s="234">
        <f t="shared" si="8"/>
        <v>594.23286467895718</v>
      </c>
      <c r="E75" s="234">
        <f t="shared" si="0"/>
        <v>19.318630377202425</v>
      </c>
      <c r="F75" s="234">
        <f t="shared" si="1"/>
        <v>0</v>
      </c>
      <c r="G75" s="234">
        <f t="shared" si="2"/>
        <v>19.318630377202425</v>
      </c>
      <c r="H75" s="234">
        <f t="shared" si="3"/>
        <v>15.852271999908508</v>
      </c>
      <c r="I75" s="234">
        <f t="shared" si="4"/>
        <v>3.466358377293917</v>
      </c>
      <c r="J75" s="234">
        <f t="shared" si="5"/>
        <v>578.38059267904873</v>
      </c>
      <c r="K75" s="234"/>
      <c r="L75" s="234"/>
      <c r="M75" s="234"/>
      <c r="N75" s="234"/>
      <c r="O75" s="234"/>
    </row>
    <row r="76" spans="2:15">
      <c r="B76" s="233">
        <f t="shared" si="6"/>
        <v>52</v>
      </c>
      <c r="C76" s="243">
        <f t="shared" si="7"/>
        <v>46844</v>
      </c>
      <c r="D76" s="234">
        <f t="shared" si="8"/>
        <v>578.38059267904873</v>
      </c>
      <c r="E76" s="234">
        <f t="shared" si="0"/>
        <v>19.318630377202425</v>
      </c>
      <c r="F76" s="234">
        <f t="shared" si="1"/>
        <v>0</v>
      </c>
      <c r="G76" s="234">
        <f t="shared" si="2"/>
        <v>19.318630377202425</v>
      </c>
      <c r="H76" s="234">
        <f t="shared" si="3"/>
        <v>15.94474358657464</v>
      </c>
      <c r="I76" s="234">
        <f t="shared" si="4"/>
        <v>3.3738867906277847</v>
      </c>
      <c r="J76" s="234">
        <f t="shared" si="5"/>
        <v>562.43584909247409</v>
      </c>
      <c r="K76" s="234"/>
      <c r="L76" s="234"/>
      <c r="M76" s="234"/>
      <c r="N76" s="234"/>
      <c r="O76" s="234"/>
    </row>
    <row r="77" spans="2:15">
      <c r="B77" s="233">
        <f t="shared" si="6"/>
        <v>53</v>
      </c>
      <c r="C77" s="243">
        <f t="shared" si="7"/>
        <v>46874</v>
      </c>
      <c r="D77" s="234">
        <f t="shared" si="8"/>
        <v>562.43584909247409</v>
      </c>
      <c r="E77" s="234">
        <f t="shared" si="0"/>
        <v>19.318630377202425</v>
      </c>
      <c r="F77" s="234">
        <f t="shared" si="1"/>
        <v>0</v>
      </c>
      <c r="G77" s="234">
        <f t="shared" si="2"/>
        <v>19.318630377202425</v>
      </c>
      <c r="H77" s="234">
        <f t="shared" si="3"/>
        <v>16.037754590829657</v>
      </c>
      <c r="I77" s="234">
        <f t="shared" si="4"/>
        <v>3.280875786372766</v>
      </c>
      <c r="J77" s="234">
        <f t="shared" si="5"/>
        <v>546.39809450164444</v>
      </c>
      <c r="K77" s="234"/>
      <c r="L77" s="234"/>
      <c r="M77" s="234"/>
      <c r="N77" s="234"/>
      <c r="O77" s="234"/>
    </row>
    <row r="78" spans="2:15">
      <c r="B78" s="233">
        <f t="shared" si="6"/>
        <v>54</v>
      </c>
      <c r="C78" s="243">
        <f t="shared" si="7"/>
        <v>46905</v>
      </c>
      <c r="D78" s="234">
        <f t="shared" si="8"/>
        <v>546.39809450164444</v>
      </c>
      <c r="E78" s="234">
        <f t="shared" si="0"/>
        <v>19.318630377202425</v>
      </c>
      <c r="F78" s="234">
        <f t="shared" si="1"/>
        <v>0</v>
      </c>
      <c r="G78" s="234">
        <f t="shared" si="2"/>
        <v>19.318630377202425</v>
      </c>
      <c r="H78" s="234">
        <f t="shared" si="3"/>
        <v>16.131308159276166</v>
      </c>
      <c r="I78" s="234">
        <f t="shared" si="4"/>
        <v>3.1873222179262597</v>
      </c>
      <c r="J78" s="234">
        <f t="shared" si="5"/>
        <v>530.26678634236828</v>
      </c>
      <c r="K78" s="234"/>
      <c r="L78" s="234"/>
      <c r="M78" s="234"/>
      <c r="N78" s="234"/>
      <c r="O78" s="234"/>
    </row>
    <row r="79" spans="2:15">
      <c r="B79" s="233">
        <f t="shared" si="6"/>
        <v>55</v>
      </c>
      <c r="C79" s="243">
        <f t="shared" si="7"/>
        <v>46935</v>
      </c>
      <c r="D79" s="234">
        <f t="shared" si="8"/>
        <v>530.26678634236828</v>
      </c>
      <c r="E79" s="234">
        <f t="shared" si="0"/>
        <v>19.318630377202425</v>
      </c>
      <c r="F79" s="234">
        <f t="shared" si="1"/>
        <v>0</v>
      </c>
      <c r="G79" s="234">
        <f t="shared" si="2"/>
        <v>19.318630377202425</v>
      </c>
      <c r="H79" s="234">
        <f t="shared" si="3"/>
        <v>16.225407456871942</v>
      </c>
      <c r="I79" s="234">
        <f t="shared" si="4"/>
        <v>3.0932229203304815</v>
      </c>
      <c r="J79" s="234">
        <f t="shared" si="5"/>
        <v>514.04137888549633</v>
      </c>
      <c r="K79" s="234"/>
      <c r="L79" s="234"/>
      <c r="M79" s="234"/>
      <c r="N79" s="234"/>
      <c r="O79" s="234"/>
    </row>
    <row r="80" spans="2:15">
      <c r="B80" s="233">
        <f t="shared" si="6"/>
        <v>56</v>
      </c>
      <c r="C80" s="243">
        <f t="shared" si="7"/>
        <v>46966</v>
      </c>
      <c r="D80" s="234">
        <f t="shared" si="8"/>
        <v>514.04137888549633</v>
      </c>
      <c r="E80" s="234">
        <f t="shared" si="0"/>
        <v>19.318630377202425</v>
      </c>
      <c r="F80" s="234">
        <f t="shared" si="1"/>
        <v>0</v>
      </c>
      <c r="G80" s="234">
        <f t="shared" si="2"/>
        <v>19.318630377202425</v>
      </c>
      <c r="H80" s="234">
        <f t="shared" si="3"/>
        <v>16.320055667037028</v>
      </c>
      <c r="I80" s="234">
        <f t="shared" si="4"/>
        <v>2.9985747101653959</v>
      </c>
      <c r="J80" s="234">
        <f t="shared" si="5"/>
        <v>497.7213232184593</v>
      </c>
      <c r="K80" s="234"/>
      <c r="L80" s="234"/>
      <c r="M80" s="234"/>
      <c r="N80" s="234"/>
      <c r="O80" s="234"/>
    </row>
    <row r="81" spans="2:15">
      <c r="B81" s="233">
        <f t="shared" si="6"/>
        <v>57</v>
      </c>
      <c r="C81" s="243">
        <f t="shared" si="7"/>
        <v>46997</v>
      </c>
      <c r="D81" s="234">
        <f t="shared" si="8"/>
        <v>497.7213232184593</v>
      </c>
      <c r="E81" s="234">
        <f t="shared" si="0"/>
        <v>19.318630377202425</v>
      </c>
      <c r="F81" s="234">
        <f t="shared" si="1"/>
        <v>0</v>
      </c>
      <c r="G81" s="234">
        <f t="shared" si="2"/>
        <v>19.318630377202425</v>
      </c>
      <c r="H81" s="234">
        <f t="shared" si="3"/>
        <v>16.415255991761413</v>
      </c>
      <c r="I81" s="234">
        <f t="shared" si="4"/>
        <v>2.9033743854410132</v>
      </c>
      <c r="J81" s="234">
        <f t="shared" si="5"/>
        <v>481.30606722669791</v>
      </c>
      <c r="K81" s="234"/>
      <c r="L81" s="234"/>
      <c r="M81" s="234"/>
      <c r="N81" s="234"/>
      <c r="O81" s="234"/>
    </row>
    <row r="82" spans="2:15">
      <c r="B82" s="233">
        <f t="shared" si="6"/>
        <v>58</v>
      </c>
      <c r="C82" s="243">
        <f t="shared" si="7"/>
        <v>47027</v>
      </c>
      <c r="D82" s="234">
        <f t="shared" si="8"/>
        <v>481.30606722669791</v>
      </c>
      <c r="E82" s="234">
        <f t="shared" si="0"/>
        <v>19.318630377202425</v>
      </c>
      <c r="F82" s="234">
        <f t="shared" si="1"/>
        <v>0</v>
      </c>
      <c r="G82" s="234">
        <f t="shared" si="2"/>
        <v>19.318630377202425</v>
      </c>
      <c r="H82" s="234">
        <f t="shared" si="3"/>
        <v>16.511011651713353</v>
      </c>
      <c r="I82" s="234">
        <f t="shared" si="4"/>
        <v>2.8076187254890712</v>
      </c>
      <c r="J82" s="234">
        <f t="shared" si="5"/>
        <v>464.79505557498453</v>
      </c>
      <c r="K82" s="234"/>
      <c r="L82" s="234"/>
      <c r="M82" s="234"/>
      <c r="N82" s="234"/>
      <c r="O82" s="234"/>
    </row>
    <row r="83" spans="2:15">
      <c r="B83" s="233">
        <f t="shared" si="6"/>
        <v>59</v>
      </c>
      <c r="C83" s="243">
        <f t="shared" si="7"/>
        <v>47058</v>
      </c>
      <c r="D83" s="234">
        <f t="shared" si="8"/>
        <v>464.79505557498453</v>
      </c>
      <c r="E83" s="234">
        <f t="shared" si="0"/>
        <v>19.318630377202425</v>
      </c>
      <c r="F83" s="234">
        <f t="shared" si="1"/>
        <v>0</v>
      </c>
      <c r="G83" s="234">
        <f t="shared" si="2"/>
        <v>19.318630377202425</v>
      </c>
      <c r="H83" s="234">
        <f t="shared" si="3"/>
        <v>16.607325886348349</v>
      </c>
      <c r="I83" s="234">
        <f t="shared" si="4"/>
        <v>2.7113044908540771</v>
      </c>
      <c r="J83" s="234">
        <f t="shared" si="5"/>
        <v>448.18772968863618</v>
      </c>
      <c r="K83" s="234"/>
      <c r="L83" s="234"/>
      <c r="M83" s="234"/>
      <c r="N83" s="234"/>
      <c r="O83" s="234"/>
    </row>
    <row r="84" spans="2:15">
      <c r="B84" s="233">
        <f t="shared" si="6"/>
        <v>60</v>
      </c>
      <c r="C84" s="243">
        <f t="shared" si="7"/>
        <v>47088</v>
      </c>
      <c r="D84" s="234">
        <f t="shared" si="8"/>
        <v>448.18772968863618</v>
      </c>
      <c r="E84" s="234">
        <f t="shared" si="0"/>
        <v>19.318630377202425</v>
      </c>
      <c r="F84" s="234">
        <f t="shared" si="1"/>
        <v>0</v>
      </c>
      <c r="G84" s="234">
        <f t="shared" si="2"/>
        <v>19.318630377202425</v>
      </c>
      <c r="H84" s="234">
        <f t="shared" si="3"/>
        <v>16.704201954018714</v>
      </c>
      <c r="I84" s="234">
        <f t="shared" si="4"/>
        <v>2.6144284231837114</v>
      </c>
      <c r="J84" s="234">
        <f t="shared" si="5"/>
        <v>431.4835277346175</v>
      </c>
      <c r="K84" s="234"/>
      <c r="L84" s="234"/>
      <c r="M84" s="234"/>
      <c r="N84" s="234"/>
      <c r="O84" s="234"/>
    </row>
    <row r="85" spans="2:15">
      <c r="B85" s="233">
        <f t="shared" si="6"/>
        <v>61</v>
      </c>
      <c r="C85" s="243">
        <f t="shared" si="7"/>
        <v>47119</v>
      </c>
      <c r="D85" s="234">
        <f t="shared" si="8"/>
        <v>431.4835277346175</v>
      </c>
      <c r="E85" s="234">
        <f t="shared" si="0"/>
        <v>19.318630377202425</v>
      </c>
      <c r="F85" s="234">
        <f t="shared" si="1"/>
        <v>0</v>
      </c>
      <c r="G85" s="234">
        <f t="shared" si="2"/>
        <v>19.318630377202425</v>
      </c>
      <c r="H85" s="234">
        <f t="shared" si="3"/>
        <v>16.801643132083822</v>
      </c>
      <c r="I85" s="234">
        <f t="shared" si="4"/>
        <v>2.5169872451186022</v>
      </c>
      <c r="J85" s="234">
        <f t="shared" si="5"/>
        <v>414.68188460253367</v>
      </c>
      <c r="K85" s="234"/>
      <c r="L85" s="234"/>
      <c r="M85" s="234"/>
      <c r="N85" s="234"/>
      <c r="O85" s="234"/>
    </row>
    <row r="86" spans="2:15">
      <c r="B86" s="233">
        <f t="shared" si="6"/>
        <v>62</v>
      </c>
      <c r="C86" s="243">
        <f t="shared" si="7"/>
        <v>47150</v>
      </c>
      <c r="D86" s="234">
        <f t="shared" si="8"/>
        <v>414.68188460253367</v>
      </c>
      <c r="E86" s="234">
        <f t="shared" si="0"/>
        <v>19.318630377202425</v>
      </c>
      <c r="F86" s="234">
        <f t="shared" si="1"/>
        <v>0</v>
      </c>
      <c r="G86" s="234">
        <f t="shared" si="2"/>
        <v>19.318630377202425</v>
      </c>
      <c r="H86" s="234">
        <f t="shared" si="3"/>
        <v>16.899652717020977</v>
      </c>
      <c r="I86" s="234">
        <f t="shared" si="4"/>
        <v>2.4189776601814468</v>
      </c>
      <c r="J86" s="234">
        <f t="shared" si="5"/>
        <v>397.78223188551272</v>
      </c>
      <c r="K86" s="234"/>
      <c r="L86" s="234"/>
      <c r="M86" s="234"/>
      <c r="N86" s="234"/>
      <c r="O86" s="234"/>
    </row>
    <row r="87" spans="2:15">
      <c r="B87" s="233">
        <f t="shared" si="6"/>
        <v>63</v>
      </c>
      <c r="C87" s="243">
        <f t="shared" si="7"/>
        <v>47178</v>
      </c>
      <c r="D87" s="234">
        <f t="shared" si="8"/>
        <v>397.78223188551272</v>
      </c>
      <c r="E87" s="234">
        <f t="shared" si="0"/>
        <v>19.318630377202425</v>
      </c>
      <c r="F87" s="234">
        <f t="shared" si="1"/>
        <v>0</v>
      </c>
      <c r="G87" s="234">
        <f t="shared" si="2"/>
        <v>19.318630377202425</v>
      </c>
      <c r="H87" s="234">
        <f t="shared" si="3"/>
        <v>16.998234024536934</v>
      </c>
      <c r="I87" s="234">
        <f t="shared" si="4"/>
        <v>2.3203963526654912</v>
      </c>
      <c r="J87" s="234">
        <f t="shared" si="5"/>
        <v>380.78399786097577</v>
      </c>
      <c r="K87" s="234"/>
      <c r="L87" s="234"/>
      <c r="M87" s="234"/>
      <c r="N87" s="234"/>
      <c r="O87" s="234"/>
    </row>
    <row r="88" spans="2:15">
      <c r="B88" s="233">
        <f t="shared" si="6"/>
        <v>64</v>
      </c>
      <c r="C88" s="243">
        <f t="shared" si="7"/>
        <v>47209</v>
      </c>
      <c r="D88" s="234">
        <f t="shared" si="8"/>
        <v>380.78399786097577</v>
      </c>
      <c r="E88" s="234">
        <f t="shared" si="0"/>
        <v>19.318630377202425</v>
      </c>
      <c r="F88" s="234">
        <f t="shared" si="1"/>
        <v>0</v>
      </c>
      <c r="G88" s="234">
        <f t="shared" si="2"/>
        <v>19.318630377202425</v>
      </c>
      <c r="H88" s="234">
        <f t="shared" si="3"/>
        <v>17.097390389680065</v>
      </c>
      <c r="I88" s="234">
        <f t="shared" si="4"/>
        <v>2.2212399875223592</v>
      </c>
      <c r="J88" s="234">
        <f t="shared" si="5"/>
        <v>363.6866074712957</v>
      </c>
      <c r="K88" s="234"/>
      <c r="L88" s="234"/>
      <c r="M88" s="234"/>
      <c r="N88" s="234"/>
      <c r="O88" s="234"/>
    </row>
    <row r="89" spans="2:15">
      <c r="B89" s="233">
        <f t="shared" si="6"/>
        <v>65</v>
      </c>
      <c r="C89" s="243">
        <f t="shared" si="7"/>
        <v>47239</v>
      </c>
      <c r="D89" s="234">
        <f t="shared" si="8"/>
        <v>363.6866074712957</v>
      </c>
      <c r="E89" s="234">
        <f t="shared" ref="E89:E152" si="9">IF(B89&lt;&gt;"",$E$17,"")</f>
        <v>19.318630377202425</v>
      </c>
      <c r="F89" s="234">
        <f t="shared" ref="F89:F152" si="10">IF(B89&lt;&gt;"",$E$13,"")</f>
        <v>0</v>
      </c>
      <c r="G89" s="234">
        <f t="shared" ref="G89:G152" si="11">IF(B89&lt;&gt;"",E89+F89,"")</f>
        <v>19.318630377202425</v>
      </c>
      <c r="H89" s="234">
        <f t="shared" ref="H89:H152" si="12">IF(B89&lt;&gt;"",E89+F89-I89,"")</f>
        <v>17.197125166953199</v>
      </c>
      <c r="I89" s="234">
        <f t="shared" ref="I89:I152" si="13">IF(B89&lt;&gt;"",D89*$E$10/12,"")</f>
        <v>2.1215052102492251</v>
      </c>
      <c r="J89" s="234">
        <f t="shared" ref="J89:J152" si="14">IF(B89&lt;&gt;"",D89-H89,"")</f>
        <v>346.48948230434252</v>
      </c>
      <c r="K89" s="234"/>
      <c r="L89" s="234"/>
      <c r="M89" s="234"/>
      <c r="N89" s="234"/>
      <c r="O89" s="234"/>
    </row>
    <row r="90" spans="2:15">
      <c r="B90" s="233">
        <f t="shared" ref="B90:B153" si="15">IF(OR(ISERROR(IF(B89+1&lt;=$E$18,B89+1,"")),J89&lt;=0),"",IF(B89+1&lt;=$E$18,B89+1,""))</f>
        <v>66</v>
      </c>
      <c r="C90" s="243">
        <f t="shared" ref="C90:C153" si="16">IF(B90&lt;&gt;"",DATE(YEAR(C89),MONTH(C89)+1,DAY(C89)),"")</f>
        <v>47270</v>
      </c>
      <c r="D90" s="234">
        <f t="shared" ref="D90:D153" si="17">IF(B90&lt;&gt;"",J89,"")</f>
        <v>346.48948230434252</v>
      </c>
      <c r="E90" s="234">
        <f t="shared" si="9"/>
        <v>19.318630377202425</v>
      </c>
      <c r="F90" s="234">
        <f t="shared" si="10"/>
        <v>0</v>
      </c>
      <c r="G90" s="234">
        <f t="shared" si="11"/>
        <v>19.318630377202425</v>
      </c>
      <c r="H90" s="234">
        <f t="shared" si="12"/>
        <v>17.297441730427092</v>
      </c>
      <c r="I90" s="234">
        <f t="shared" si="13"/>
        <v>2.0211886467753315</v>
      </c>
      <c r="J90" s="234">
        <f t="shared" si="14"/>
        <v>329.19204057391545</v>
      </c>
      <c r="K90" s="234"/>
      <c r="L90" s="234"/>
      <c r="M90" s="234"/>
      <c r="N90" s="234"/>
      <c r="O90" s="234"/>
    </row>
    <row r="91" spans="2:15">
      <c r="B91" s="233">
        <f t="shared" si="15"/>
        <v>67</v>
      </c>
      <c r="C91" s="243">
        <f t="shared" si="16"/>
        <v>47300</v>
      </c>
      <c r="D91" s="234">
        <f t="shared" si="17"/>
        <v>329.19204057391545</v>
      </c>
      <c r="E91" s="234">
        <f t="shared" si="9"/>
        <v>19.318630377202425</v>
      </c>
      <c r="F91" s="234">
        <f t="shared" si="10"/>
        <v>0</v>
      </c>
      <c r="G91" s="234">
        <f t="shared" si="11"/>
        <v>19.318630377202425</v>
      </c>
      <c r="H91" s="234">
        <f t="shared" si="12"/>
        <v>17.398343473854585</v>
      </c>
      <c r="I91" s="234">
        <f t="shared" si="13"/>
        <v>1.9202869033478402</v>
      </c>
      <c r="J91" s="234">
        <f t="shared" si="14"/>
        <v>311.79369710006085</v>
      </c>
      <c r="K91" s="234"/>
      <c r="L91" s="234"/>
      <c r="M91" s="234"/>
      <c r="N91" s="234"/>
      <c r="O91" s="234"/>
    </row>
    <row r="92" spans="2:15">
      <c r="B92" s="233">
        <f t="shared" si="15"/>
        <v>68</v>
      </c>
      <c r="C92" s="243">
        <f t="shared" si="16"/>
        <v>47331</v>
      </c>
      <c r="D92" s="234">
        <f t="shared" si="17"/>
        <v>311.79369710006085</v>
      </c>
      <c r="E92" s="234">
        <f t="shared" si="9"/>
        <v>19.318630377202425</v>
      </c>
      <c r="F92" s="234">
        <f t="shared" si="10"/>
        <v>0</v>
      </c>
      <c r="G92" s="234">
        <f t="shared" si="11"/>
        <v>19.318630377202425</v>
      </c>
      <c r="H92" s="234">
        <f t="shared" si="12"/>
        <v>17.499833810785404</v>
      </c>
      <c r="I92" s="234">
        <f t="shared" si="13"/>
        <v>1.8187965664170218</v>
      </c>
      <c r="J92" s="234">
        <f t="shared" si="14"/>
        <v>294.29386328927546</v>
      </c>
      <c r="K92" s="234"/>
      <c r="L92" s="234"/>
      <c r="M92" s="234"/>
      <c r="N92" s="234"/>
      <c r="O92" s="234"/>
    </row>
    <row r="93" spans="2:15">
      <c r="B93" s="233">
        <f t="shared" si="15"/>
        <v>69</v>
      </c>
      <c r="C93" s="243">
        <f t="shared" si="16"/>
        <v>47362</v>
      </c>
      <c r="D93" s="234">
        <f t="shared" si="17"/>
        <v>294.29386328927546</v>
      </c>
      <c r="E93" s="234">
        <f t="shared" si="9"/>
        <v>19.318630377202425</v>
      </c>
      <c r="F93" s="234">
        <f t="shared" si="10"/>
        <v>0</v>
      </c>
      <c r="G93" s="234">
        <f t="shared" si="11"/>
        <v>19.318630377202425</v>
      </c>
      <c r="H93" s="234">
        <f t="shared" si="12"/>
        <v>17.601916174681651</v>
      </c>
      <c r="I93" s="234">
        <f t="shared" si="13"/>
        <v>1.7167142025207738</v>
      </c>
      <c r="J93" s="234">
        <f t="shared" si="14"/>
        <v>276.6919471145938</v>
      </c>
      <c r="K93" s="234"/>
      <c r="L93" s="234"/>
      <c r="M93" s="234"/>
      <c r="N93" s="234"/>
      <c r="O93" s="234"/>
    </row>
    <row r="94" spans="2:15">
      <c r="B94" s="233">
        <f t="shared" si="15"/>
        <v>70</v>
      </c>
      <c r="C94" s="243">
        <f t="shared" si="16"/>
        <v>47392</v>
      </c>
      <c r="D94" s="234">
        <f t="shared" si="17"/>
        <v>276.6919471145938</v>
      </c>
      <c r="E94" s="234">
        <f t="shared" si="9"/>
        <v>19.318630377202425</v>
      </c>
      <c r="F94" s="234">
        <f t="shared" si="10"/>
        <v>0</v>
      </c>
      <c r="G94" s="234">
        <f t="shared" si="11"/>
        <v>19.318630377202425</v>
      </c>
      <c r="H94" s="234">
        <f t="shared" si="12"/>
        <v>17.704594019033962</v>
      </c>
      <c r="I94" s="234">
        <f t="shared" si="13"/>
        <v>1.614036358168464</v>
      </c>
      <c r="J94" s="234">
        <f t="shared" si="14"/>
        <v>258.98735309555985</v>
      </c>
      <c r="K94" s="234"/>
      <c r="L94" s="234"/>
      <c r="M94" s="234"/>
      <c r="N94" s="234"/>
      <c r="O94" s="234"/>
    </row>
    <row r="95" spans="2:15">
      <c r="B95" s="233">
        <f t="shared" si="15"/>
        <v>71</v>
      </c>
      <c r="C95" s="243">
        <f t="shared" si="16"/>
        <v>47423</v>
      </c>
      <c r="D95" s="234">
        <f t="shared" si="17"/>
        <v>258.98735309555985</v>
      </c>
      <c r="E95" s="234">
        <f t="shared" si="9"/>
        <v>19.318630377202425</v>
      </c>
      <c r="F95" s="234">
        <f t="shared" si="10"/>
        <v>0</v>
      </c>
      <c r="G95" s="234">
        <f t="shared" si="11"/>
        <v>19.318630377202425</v>
      </c>
      <c r="H95" s="234">
        <f t="shared" si="12"/>
        <v>17.807870817478324</v>
      </c>
      <c r="I95" s="234">
        <f t="shared" si="13"/>
        <v>1.5107595597240993</v>
      </c>
      <c r="J95" s="234">
        <f t="shared" si="14"/>
        <v>241.17948227808154</v>
      </c>
      <c r="K95" s="234"/>
      <c r="L95" s="234"/>
      <c r="M95" s="234"/>
      <c r="N95" s="234"/>
      <c r="O95" s="234"/>
    </row>
    <row r="96" spans="2:15">
      <c r="B96" s="233">
        <f t="shared" si="15"/>
        <v>72</v>
      </c>
      <c r="C96" s="243">
        <f t="shared" si="16"/>
        <v>47453</v>
      </c>
      <c r="D96" s="234">
        <f t="shared" si="17"/>
        <v>241.17948227808154</v>
      </c>
      <c r="E96" s="234">
        <f t="shared" si="9"/>
        <v>19.318630377202425</v>
      </c>
      <c r="F96" s="234">
        <f t="shared" si="10"/>
        <v>0</v>
      </c>
      <c r="G96" s="234">
        <f t="shared" si="11"/>
        <v>19.318630377202425</v>
      </c>
      <c r="H96" s="234">
        <f t="shared" si="12"/>
        <v>17.911750063913615</v>
      </c>
      <c r="I96" s="234">
        <f t="shared" si="13"/>
        <v>1.406880313288809</v>
      </c>
      <c r="J96" s="234">
        <f t="shared" si="14"/>
        <v>223.26773221416792</v>
      </c>
      <c r="K96" s="234"/>
      <c r="L96" s="234"/>
      <c r="M96" s="234"/>
      <c r="N96" s="234"/>
      <c r="O96" s="234"/>
    </row>
    <row r="97" spans="2:15">
      <c r="B97" s="233">
        <f t="shared" si="15"/>
        <v>73</v>
      </c>
      <c r="C97" s="243">
        <f t="shared" si="16"/>
        <v>47484</v>
      </c>
      <c r="D97" s="234">
        <f t="shared" si="17"/>
        <v>223.26773221416792</v>
      </c>
      <c r="E97" s="234">
        <f t="shared" si="9"/>
        <v>19.318630377202425</v>
      </c>
      <c r="F97" s="234">
        <f t="shared" si="10"/>
        <v>0</v>
      </c>
      <c r="G97" s="234">
        <f t="shared" si="11"/>
        <v>19.318630377202425</v>
      </c>
      <c r="H97" s="234">
        <f t="shared" si="12"/>
        <v>18.016235272619777</v>
      </c>
      <c r="I97" s="234">
        <f t="shared" si="13"/>
        <v>1.3023951045826463</v>
      </c>
      <c r="J97" s="234">
        <f t="shared" si="14"/>
        <v>205.25149694154814</v>
      </c>
      <c r="K97" s="234"/>
      <c r="L97" s="234"/>
      <c r="M97" s="234"/>
      <c r="N97" s="234"/>
      <c r="O97" s="234"/>
    </row>
    <row r="98" spans="2:15">
      <c r="B98" s="233">
        <f t="shared" si="15"/>
        <v>74</v>
      </c>
      <c r="C98" s="243">
        <f t="shared" si="16"/>
        <v>47515</v>
      </c>
      <c r="D98" s="234">
        <f t="shared" si="17"/>
        <v>205.25149694154814</v>
      </c>
      <c r="E98" s="234">
        <f t="shared" si="9"/>
        <v>19.318630377202425</v>
      </c>
      <c r="F98" s="234">
        <f t="shared" si="10"/>
        <v>0</v>
      </c>
      <c r="G98" s="234">
        <f t="shared" si="11"/>
        <v>19.318630377202425</v>
      </c>
      <c r="H98" s="234">
        <f t="shared" si="12"/>
        <v>18.121329978376728</v>
      </c>
      <c r="I98" s="234">
        <f t="shared" si="13"/>
        <v>1.1973003988256976</v>
      </c>
      <c r="J98" s="234">
        <f t="shared" si="14"/>
        <v>187.1301669631714</v>
      </c>
      <c r="K98" s="234"/>
      <c r="L98" s="234"/>
      <c r="M98" s="234"/>
      <c r="N98" s="234"/>
      <c r="O98" s="234"/>
    </row>
    <row r="99" spans="2:15">
      <c r="B99" s="233">
        <f t="shared" si="15"/>
        <v>75</v>
      </c>
      <c r="C99" s="243">
        <f t="shared" si="16"/>
        <v>47543</v>
      </c>
      <c r="D99" s="234">
        <f t="shared" si="17"/>
        <v>187.1301669631714</v>
      </c>
      <c r="E99" s="234">
        <f t="shared" si="9"/>
        <v>19.318630377202425</v>
      </c>
      <c r="F99" s="234">
        <f t="shared" si="10"/>
        <v>0</v>
      </c>
      <c r="G99" s="234">
        <f t="shared" si="11"/>
        <v>19.318630377202425</v>
      </c>
      <c r="H99" s="234">
        <f t="shared" si="12"/>
        <v>18.227037736583924</v>
      </c>
      <c r="I99" s="234">
        <f t="shared" si="13"/>
        <v>1.0915926406184999</v>
      </c>
      <c r="J99" s="234">
        <f t="shared" si="14"/>
        <v>168.90312922658748</v>
      </c>
      <c r="K99" s="234"/>
      <c r="L99" s="234"/>
      <c r="M99" s="234"/>
      <c r="N99" s="234"/>
      <c r="O99" s="234"/>
    </row>
    <row r="100" spans="2:15">
      <c r="B100" s="233">
        <f t="shared" si="15"/>
        <v>76</v>
      </c>
      <c r="C100" s="243">
        <f t="shared" si="16"/>
        <v>47574</v>
      </c>
      <c r="D100" s="234">
        <f t="shared" si="17"/>
        <v>168.90312922658748</v>
      </c>
      <c r="E100" s="234">
        <f t="shared" si="9"/>
        <v>19.318630377202425</v>
      </c>
      <c r="F100" s="234">
        <f t="shared" si="10"/>
        <v>0</v>
      </c>
      <c r="G100" s="234">
        <f t="shared" si="11"/>
        <v>19.318630377202425</v>
      </c>
      <c r="H100" s="234">
        <f t="shared" si="12"/>
        <v>18.333362123380663</v>
      </c>
      <c r="I100" s="234">
        <f t="shared" si="13"/>
        <v>0.98526825382176042</v>
      </c>
      <c r="J100" s="234">
        <f t="shared" si="14"/>
        <v>150.56976710320683</v>
      </c>
      <c r="K100" s="234"/>
      <c r="L100" s="234"/>
      <c r="M100" s="234"/>
      <c r="N100" s="234"/>
      <c r="O100" s="234"/>
    </row>
    <row r="101" spans="2:15">
      <c r="B101" s="233">
        <f t="shared" si="15"/>
        <v>77</v>
      </c>
      <c r="C101" s="243">
        <f t="shared" si="16"/>
        <v>47604</v>
      </c>
      <c r="D101" s="234">
        <f t="shared" si="17"/>
        <v>150.56976710320683</v>
      </c>
      <c r="E101" s="234">
        <f t="shared" si="9"/>
        <v>19.318630377202425</v>
      </c>
      <c r="F101" s="234">
        <f t="shared" si="10"/>
        <v>0</v>
      </c>
      <c r="G101" s="234">
        <f t="shared" si="11"/>
        <v>19.318630377202425</v>
      </c>
      <c r="H101" s="234">
        <f t="shared" si="12"/>
        <v>18.440306735767052</v>
      </c>
      <c r="I101" s="234">
        <f t="shared" si="13"/>
        <v>0.87832364143537323</v>
      </c>
      <c r="J101" s="234">
        <f t="shared" si="14"/>
        <v>132.12946036743978</v>
      </c>
      <c r="K101" s="234"/>
      <c r="L101" s="234"/>
      <c r="M101" s="234"/>
      <c r="N101" s="234"/>
      <c r="O101" s="234"/>
    </row>
    <row r="102" spans="2:15">
      <c r="B102" s="233">
        <f t="shared" si="15"/>
        <v>78</v>
      </c>
      <c r="C102" s="243">
        <f t="shared" si="16"/>
        <v>47635</v>
      </c>
      <c r="D102" s="234">
        <f t="shared" si="17"/>
        <v>132.12946036743978</v>
      </c>
      <c r="E102" s="234">
        <f t="shared" si="9"/>
        <v>19.318630377202425</v>
      </c>
      <c r="F102" s="234">
        <f t="shared" si="10"/>
        <v>0</v>
      </c>
      <c r="G102" s="234">
        <f t="shared" si="11"/>
        <v>19.318630377202425</v>
      </c>
      <c r="H102" s="234">
        <f t="shared" si="12"/>
        <v>18.547875191725694</v>
      </c>
      <c r="I102" s="234">
        <f t="shared" si="13"/>
        <v>0.77075518547673205</v>
      </c>
      <c r="J102" s="234">
        <f t="shared" si="14"/>
        <v>113.58158517571408</v>
      </c>
      <c r="K102" s="234"/>
      <c r="L102" s="234"/>
      <c r="M102" s="234"/>
      <c r="N102" s="234"/>
      <c r="O102" s="234"/>
    </row>
    <row r="103" spans="2:15">
      <c r="B103" s="233">
        <f t="shared" si="15"/>
        <v>79</v>
      </c>
      <c r="C103" s="243">
        <f t="shared" si="16"/>
        <v>47665</v>
      </c>
      <c r="D103" s="234">
        <f t="shared" si="17"/>
        <v>113.58158517571408</v>
      </c>
      <c r="E103" s="234">
        <f t="shared" si="9"/>
        <v>19.318630377202425</v>
      </c>
      <c r="F103" s="234">
        <f t="shared" si="10"/>
        <v>0</v>
      </c>
      <c r="G103" s="234">
        <f t="shared" si="11"/>
        <v>19.318630377202425</v>
      </c>
      <c r="H103" s="234">
        <f t="shared" si="12"/>
        <v>18.656071130344092</v>
      </c>
      <c r="I103" s="234">
        <f t="shared" si="13"/>
        <v>0.66255924685833223</v>
      </c>
      <c r="J103" s="234">
        <f t="shared" si="14"/>
        <v>94.925514045369994</v>
      </c>
      <c r="K103" s="234"/>
      <c r="L103" s="234"/>
      <c r="M103" s="234"/>
      <c r="N103" s="234"/>
      <c r="O103" s="234"/>
    </row>
    <row r="104" spans="2:15">
      <c r="B104" s="233">
        <f t="shared" si="15"/>
        <v>80</v>
      </c>
      <c r="C104" s="243">
        <f t="shared" si="16"/>
        <v>47696</v>
      </c>
      <c r="D104" s="234">
        <f t="shared" si="17"/>
        <v>94.925514045369994</v>
      </c>
      <c r="E104" s="234">
        <f t="shared" si="9"/>
        <v>19.318630377202425</v>
      </c>
      <c r="F104" s="234">
        <f t="shared" si="10"/>
        <v>0</v>
      </c>
      <c r="G104" s="234">
        <f t="shared" si="11"/>
        <v>19.318630377202425</v>
      </c>
      <c r="H104" s="234">
        <f t="shared" si="12"/>
        <v>18.764898211937766</v>
      </c>
      <c r="I104" s="234">
        <f t="shared" si="13"/>
        <v>0.5537321652646584</v>
      </c>
      <c r="J104" s="234">
        <f t="shared" si="14"/>
        <v>76.160615833432232</v>
      </c>
      <c r="K104" s="234"/>
      <c r="L104" s="234"/>
      <c r="M104" s="234"/>
      <c r="N104" s="234"/>
      <c r="O104" s="234"/>
    </row>
    <row r="105" spans="2:15">
      <c r="B105" s="233">
        <f t="shared" si="15"/>
        <v>81</v>
      </c>
      <c r="C105" s="243">
        <f t="shared" si="16"/>
        <v>47727</v>
      </c>
      <c r="D105" s="234">
        <f t="shared" si="17"/>
        <v>76.160615833432232</v>
      </c>
      <c r="E105" s="234">
        <f t="shared" si="9"/>
        <v>19.318630377202425</v>
      </c>
      <c r="F105" s="234">
        <f t="shared" si="10"/>
        <v>0</v>
      </c>
      <c r="G105" s="234">
        <f t="shared" si="11"/>
        <v>19.318630377202425</v>
      </c>
      <c r="H105" s="234">
        <f t="shared" si="12"/>
        <v>18.874360118174071</v>
      </c>
      <c r="I105" s="234">
        <f t="shared" si="13"/>
        <v>0.44427025902835471</v>
      </c>
      <c r="J105" s="234">
        <f t="shared" si="14"/>
        <v>57.286255715258164</v>
      </c>
      <c r="K105" s="234"/>
      <c r="L105" s="234"/>
      <c r="M105" s="234"/>
      <c r="N105" s="234"/>
      <c r="O105" s="234"/>
    </row>
    <row r="106" spans="2:15">
      <c r="B106" s="233">
        <f t="shared" si="15"/>
        <v>82</v>
      </c>
      <c r="C106" s="243">
        <f t="shared" si="16"/>
        <v>47757</v>
      </c>
      <c r="D106" s="234">
        <f t="shared" si="17"/>
        <v>57.286255715258164</v>
      </c>
      <c r="E106" s="234">
        <f t="shared" si="9"/>
        <v>19.318630377202425</v>
      </c>
      <c r="F106" s="234">
        <f t="shared" si="10"/>
        <v>0</v>
      </c>
      <c r="G106" s="234">
        <f t="shared" si="11"/>
        <v>19.318630377202425</v>
      </c>
      <c r="H106" s="234">
        <f t="shared" si="12"/>
        <v>18.984460552196751</v>
      </c>
      <c r="I106" s="234">
        <f t="shared" si="13"/>
        <v>0.33416982500567266</v>
      </c>
      <c r="J106" s="234">
        <f t="shared" si="14"/>
        <v>38.301795163061414</v>
      </c>
      <c r="K106" s="234"/>
      <c r="L106" s="234"/>
      <c r="M106" s="234"/>
      <c r="N106" s="234"/>
      <c r="O106" s="234"/>
    </row>
    <row r="107" spans="2:15">
      <c r="B107" s="233">
        <f t="shared" si="15"/>
        <v>83</v>
      </c>
      <c r="C107" s="243">
        <f t="shared" si="16"/>
        <v>47788</v>
      </c>
      <c r="D107" s="234">
        <f t="shared" si="17"/>
        <v>38.301795163061414</v>
      </c>
      <c r="E107" s="234">
        <f t="shared" si="9"/>
        <v>19.318630377202425</v>
      </c>
      <c r="F107" s="234">
        <f t="shared" si="10"/>
        <v>0</v>
      </c>
      <c r="G107" s="234">
        <f t="shared" si="11"/>
        <v>19.318630377202425</v>
      </c>
      <c r="H107" s="234">
        <f t="shared" si="12"/>
        <v>19.095203238751232</v>
      </c>
      <c r="I107" s="234">
        <f t="shared" si="13"/>
        <v>0.22342713845119158</v>
      </c>
      <c r="J107" s="234">
        <f t="shared" si="14"/>
        <v>19.206591924310182</v>
      </c>
      <c r="K107" s="234"/>
      <c r="L107" s="234"/>
      <c r="M107" s="234"/>
      <c r="N107" s="234"/>
      <c r="O107" s="234"/>
    </row>
    <row r="108" spans="2:15">
      <c r="B108" s="233">
        <f t="shared" si="15"/>
        <v>84</v>
      </c>
      <c r="C108" s="243">
        <f t="shared" si="16"/>
        <v>47818</v>
      </c>
      <c r="D108" s="234">
        <f t="shared" si="17"/>
        <v>19.206591924310182</v>
      </c>
      <c r="E108" s="234">
        <f t="shared" si="9"/>
        <v>19.318630377202425</v>
      </c>
      <c r="F108" s="234">
        <f t="shared" si="10"/>
        <v>0</v>
      </c>
      <c r="G108" s="234">
        <f t="shared" si="11"/>
        <v>19.318630377202425</v>
      </c>
      <c r="H108" s="234">
        <f t="shared" si="12"/>
        <v>19.206591924310615</v>
      </c>
      <c r="I108" s="234">
        <f t="shared" si="13"/>
        <v>0.1120384528918094</v>
      </c>
      <c r="J108" s="234">
        <f t="shared" si="14"/>
        <v>-4.3343106881366111E-13</v>
      </c>
      <c r="K108" s="234"/>
      <c r="L108" s="234"/>
      <c r="M108" s="234"/>
      <c r="N108" s="234"/>
      <c r="O108" s="234"/>
    </row>
    <row r="109" spans="2:15">
      <c r="B109" s="233" t="str">
        <f t="shared" si="15"/>
        <v/>
      </c>
      <c r="C109" s="243" t="str">
        <f t="shared" si="16"/>
        <v/>
      </c>
      <c r="D109" s="234" t="str">
        <f t="shared" si="17"/>
        <v/>
      </c>
      <c r="E109" s="234" t="str">
        <f t="shared" si="9"/>
        <v/>
      </c>
      <c r="F109" s="234" t="str">
        <f t="shared" si="10"/>
        <v/>
      </c>
      <c r="G109" s="234" t="str">
        <f t="shared" si="11"/>
        <v/>
      </c>
      <c r="H109" s="234" t="str">
        <f t="shared" si="12"/>
        <v/>
      </c>
      <c r="I109" s="234" t="str">
        <f t="shared" si="13"/>
        <v/>
      </c>
      <c r="J109" s="234" t="str">
        <f t="shared" si="14"/>
        <v/>
      </c>
      <c r="K109" s="234"/>
      <c r="L109" s="234"/>
      <c r="M109" s="234"/>
      <c r="N109" s="234"/>
      <c r="O109" s="234"/>
    </row>
    <row r="110" spans="2:15">
      <c r="B110" s="233" t="str">
        <f t="shared" si="15"/>
        <v/>
      </c>
      <c r="C110" s="243" t="str">
        <f t="shared" si="16"/>
        <v/>
      </c>
      <c r="D110" s="234" t="str">
        <f t="shared" si="17"/>
        <v/>
      </c>
      <c r="E110" s="234" t="str">
        <f t="shared" si="9"/>
        <v/>
      </c>
      <c r="F110" s="234" t="str">
        <f t="shared" si="10"/>
        <v/>
      </c>
      <c r="G110" s="234" t="str">
        <f t="shared" si="11"/>
        <v/>
      </c>
      <c r="H110" s="234" t="str">
        <f t="shared" si="12"/>
        <v/>
      </c>
      <c r="I110" s="234" t="str">
        <f t="shared" si="13"/>
        <v/>
      </c>
      <c r="J110" s="234" t="str">
        <f t="shared" si="14"/>
        <v/>
      </c>
      <c r="K110" s="234"/>
      <c r="L110" s="234"/>
      <c r="M110" s="234"/>
      <c r="N110" s="234"/>
      <c r="O110" s="234"/>
    </row>
    <row r="111" spans="2:15">
      <c r="B111" s="233" t="str">
        <f t="shared" si="15"/>
        <v/>
      </c>
      <c r="C111" s="243" t="str">
        <f t="shared" si="16"/>
        <v/>
      </c>
      <c r="D111" s="234" t="str">
        <f t="shared" si="17"/>
        <v/>
      </c>
      <c r="E111" s="234" t="str">
        <f t="shared" si="9"/>
        <v/>
      </c>
      <c r="F111" s="234" t="str">
        <f t="shared" si="10"/>
        <v/>
      </c>
      <c r="G111" s="234" t="str">
        <f t="shared" si="11"/>
        <v/>
      </c>
      <c r="H111" s="234" t="str">
        <f t="shared" si="12"/>
        <v/>
      </c>
      <c r="I111" s="234" t="str">
        <f t="shared" si="13"/>
        <v/>
      </c>
      <c r="J111" s="234" t="str">
        <f t="shared" si="14"/>
        <v/>
      </c>
      <c r="K111" s="234"/>
      <c r="L111" s="234"/>
      <c r="M111" s="234"/>
      <c r="N111" s="234"/>
      <c r="O111" s="234"/>
    </row>
    <row r="112" spans="2:15">
      <c r="B112" s="233" t="str">
        <f t="shared" si="15"/>
        <v/>
      </c>
      <c r="C112" s="243" t="str">
        <f t="shared" si="16"/>
        <v/>
      </c>
      <c r="D112" s="234" t="str">
        <f t="shared" si="17"/>
        <v/>
      </c>
      <c r="E112" s="234" t="str">
        <f t="shared" si="9"/>
        <v/>
      </c>
      <c r="F112" s="234" t="str">
        <f t="shared" si="10"/>
        <v/>
      </c>
      <c r="G112" s="234" t="str">
        <f t="shared" si="11"/>
        <v/>
      </c>
      <c r="H112" s="234" t="str">
        <f t="shared" si="12"/>
        <v/>
      </c>
      <c r="I112" s="234" t="str">
        <f t="shared" si="13"/>
        <v/>
      </c>
      <c r="J112" s="234" t="str">
        <f t="shared" si="14"/>
        <v/>
      </c>
      <c r="K112" s="234"/>
      <c r="L112" s="234"/>
      <c r="M112" s="234"/>
      <c r="N112" s="234"/>
      <c r="O112" s="234"/>
    </row>
    <row r="113" spans="2:15">
      <c r="B113" s="233" t="str">
        <f t="shared" si="15"/>
        <v/>
      </c>
      <c r="C113" s="243" t="str">
        <f t="shared" si="16"/>
        <v/>
      </c>
      <c r="D113" s="234" t="str">
        <f t="shared" si="17"/>
        <v/>
      </c>
      <c r="E113" s="234" t="str">
        <f t="shared" si="9"/>
        <v/>
      </c>
      <c r="F113" s="234" t="str">
        <f t="shared" si="10"/>
        <v/>
      </c>
      <c r="G113" s="234" t="str">
        <f t="shared" si="11"/>
        <v/>
      </c>
      <c r="H113" s="234" t="str">
        <f t="shared" si="12"/>
        <v/>
      </c>
      <c r="I113" s="234" t="str">
        <f t="shared" si="13"/>
        <v/>
      </c>
      <c r="J113" s="234" t="str">
        <f t="shared" si="14"/>
        <v/>
      </c>
      <c r="K113" s="234"/>
      <c r="L113" s="234"/>
      <c r="M113" s="234"/>
      <c r="N113" s="234"/>
      <c r="O113" s="234"/>
    </row>
    <row r="114" spans="2:15">
      <c r="B114" s="233" t="str">
        <f t="shared" si="15"/>
        <v/>
      </c>
      <c r="C114" s="243" t="str">
        <f t="shared" si="16"/>
        <v/>
      </c>
      <c r="D114" s="234" t="str">
        <f t="shared" si="17"/>
        <v/>
      </c>
      <c r="E114" s="234" t="str">
        <f t="shared" si="9"/>
        <v/>
      </c>
      <c r="F114" s="234" t="str">
        <f t="shared" si="10"/>
        <v/>
      </c>
      <c r="G114" s="234" t="str">
        <f t="shared" si="11"/>
        <v/>
      </c>
      <c r="H114" s="234" t="str">
        <f t="shared" si="12"/>
        <v/>
      </c>
      <c r="I114" s="234" t="str">
        <f t="shared" si="13"/>
        <v/>
      </c>
      <c r="J114" s="234" t="str">
        <f t="shared" si="14"/>
        <v/>
      </c>
      <c r="K114" s="234"/>
      <c r="L114" s="234"/>
      <c r="M114" s="234"/>
      <c r="N114" s="234"/>
      <c r="O114" s="234"/>
    </row>
    <row r="115" spans="2:15">
      <c r="B115" s="233" t="str">
        <f t="shared" si="15"/>
        <v/>
      </c>
      <c r="C115" s="243" t="str">
        <f t="shared" si="16"/>
        <v/>
      </c>
      <c r="D115" s="234" t="str">
        <f t="shared" si="17"/>
        <v/>
      </c>
      <c r="E115" s="234" t="str">
        <f t="shared" si="9"/>
        <v/>
      </c>
      <c r="F115" s="234" t="str">
        <f t="shared" si="10"/>
        <v/>
      </c>
      <c r="G115" s="234" t="str">
        <f t="shared" si="11"/>
        <v/>
      </c>
      <c r="H115" s="234" t="str">
        <f t="shared" si="12"/>
        <v/>
      </c>
      <c r="I115" s="234" t="str">
        <f t="shared" si="13"/>
        <v/>
      </c>
      <c r="J115" s="234" t="str">
        <f t="shared" si="14"/>
        <v/>
      </c>
      <c r="K115" s="234"/>
      <c r="L115" s="234"/>
      <c r="M115" s="234"/>
      <c r="N115" s="234"/>
      <c r="O115" s="234"/>
    </row>
    <row r="116" spans="2:15">
      <c r="B116" s="233" t="str">
        <f t="shared" si="15"/>
        <v/>
      </c>
      <c r="C116" s="243" t="str">
        <f t="shared" si="16"/>
        <v/>
      </c>
      <c r="D116" s="234" t="str">
        <f t="shared" si="17"/>
        <v/>
      </c>
      <c r="E116" s="234" t="str">
        <f t="shared" si="9"/>
        <v/>
      </c>
      <c r="F116" s="234" t="str">
        <f t="shared" si="10"/>
        <v/>
      </c>
      <c r="G116" s="234" t="str">
        <f t="shared" si="11"/>
        <v/>
      </c>
      <c r="H116" s="234" t="str">
        <f t="shared" si="12"/>
        <v/>
      </c>
      <c r="I116" s="234" t="str">
        <f t="shared" si="13"/>
        <v/>
      </c>
      <c r="J116" s="234" t="str">
        <f t="shared" si="14"/>
        <v/>
      </c>
      <c r="K116" s="234"/>
      <c r="L116" s="234"/>
      <c r="M116" s="234"/>
      <c r="N116" s="234"/>
      <c r="O116" s="234"/>
    </row>
    <row r="117" spans="2:15">
      <c r="B117" s="233" t="str">
        <f t="shared" si="15"/>
        <v/>
      </c>
      <c r="C117" s="243" t="str">
        <f t="shared" si="16"/>
        <v/>
      </c>
      <c r="D117" s="234" t="str">
        <f t="shared" si="17"/>
        <v/>
      </c>
      <c r="E117" s="234" t="str">
        <f t="shared" si="9"/>
        <v/>
      </c>
      <c r="F117" s="234" t="str">
        <f t="shared" si="10"/>
        <v/>
      </c>
      <c r="G117" s="234" t="str">
        <f t="shared" si="11"/>
        <v/>
      </c>
      <c r="H117" s="234" t="str">
        <f t="shared" si="12"/>
        <v/>
      </c>
      <c r="I117" s="234" t="str">
        <f t="shared" si="13"/>
        <v/>
      </c>
      <c r="J117" s="234" t="str">
        <f t="shared" si="14"/>
        <v/>
      </c>
      <c r="K117" s="234"/>
      <c r="L117" s="234"/>
      <c r="M117" s="234"/>
      <c r="N117" s="234"/>
      <c r="O117" s="234"/>
    </row>
    <row r="118" spans="2:15">
      <c r="B118" s="233" t="str">
        <f t="shared" si="15"/>
        <v/>
      </c>
      <c r="C118" s="243" t="str">
        <f t="shared" si="16"/>
        <v/>
      </c>
      <c r="D118" s="234" t="str">
        <f t="shared" si="17"/>
        <v/>
      </c>
      <c r="E118" s="234" t="str">
        <f t="shared" si="9"/>
        <v/>
      </c>
      <c r="F118" s="234" t="str">
        <f t="shared" si="10"/>
        <v/>
      </c>
      <c r="G118" s="234" t="str">
        <f t="shared" si="11"/>
        <v/>
      </c>
      <c r="H118" s="234" t="str">
        <f t="shared" si="12"/>
        <v/>
      </c>
      <c r="I118" s="234" t="str">
        <f t="shared" si="13"/>
        <v/>
      </c>
      <c r="J118" s="234" t="str">
        <f t="shared" si="14"/>
        <v/>
      </c>
      <c r="K118" s="234"/>
      <c r="L118" s="234"/>
      <c r="M118" s="234"/>
      <c r="N118" s="234"/>
      <c r="O118" s="234"/>
    </row>
    <row r="119" spans="2:15">
      <c r="B119" s="233" t="str">
        <f t="shared" si="15"/>
        <v/>
      </c>
      <c r="C119" s="243" t="str">
        <f t="shared" si="16"/>
        <v/>
      </c>
      <c r="D119" s="234" t="str">
        <f t="shared" si="17"/>
        <v/>
      </c>
      <c r="E119" s="234" t="str">
        <f t="shared" si="9"/>
        <v/>
      </c>
      <c r="F119" s="234" t="str">
        <f t="shared" si="10"/>
        <v/>
      </c>
      <c r="G119" s="234" t="str">
        <f t="shared" si="11"/>
        <v/>
      </c>
      <c r="H119" s="234" t="str">
        <f t="shared" si="12"/>
        <v/>
      </c>
      <c r="I119" s="234" t="str">
        <f t="shared" si="13"/>
        <v/>
      </c>
      <c r="J119" s="234" t="str">
        <f t="shared" si="14"/>
        <v/>
      </c>
      <c r="K119" s="234"/>
      <c r="L119" s="234"/>
      <c r="M119" s="234"/>
      <c r="N119" s="234"/>
      <c r="O119" s="234"/>
    </row>
    <row r="120" spans="2:15">
      <c r="B120" s="233" t="str">
        <f t="shared" si="15"/>
        <v/>
      </c>
      <c r="C120" s="243" t="str">
        <f t="shared" si="16"/>
        <v/>
      </c>
      <c r="D120" s="234" t="str">
        <f t="shared" si="17"/>
        <v/>
      </c>
      <c r="E120" s="234" t="str">
        <f t="shared" si="9"/>
        <v/>
      </c>
      <c r="F120" s="234" t="str">
        <f t="shared" si="10"/>
        <v/>
      </c>
      <c r="G120" s="234" t="str">
        <f t="shared" si="11"/>
        <v/>
      </c>
      <c r="H120" s="234" t="str">
        <f t="shared" si="12"/>
        <v/>
      </c>
      <c r="I120" s="234" t="str">
        <f t="shared" si="13"/>
        <v/>
      </c>
      <c r="J120" s="234" t="str">
        <f t="shared" si="14"/>
        <v/>
      </c>
      <c r="K120" s="234"/>
      <c r="L120" s="234"/>
      <c r="M120" s="234"/>
      <c r="N120" s="234"/>
      <c r="O120" s="234"/>
    </row>
    <row r="121" spans="2:15">
      <c r="B121" s="233" t="str">
        <f t="shared" si="15"/>
        <v/>
      </c>
      <c r="C121" s="243" t="str">
        <f t="shared" si="16"/>
        <v/>
      </c>
      <c r="D121" s="234" t="str">
        <f t="shared" si="17"/>
        <v/>
      </c>
      <c r="E121" s="234" t="str">
        <f t="shared" si="9"/>
        <v/>
      </c>
      <c r="F121" s="234" t="str">
        <f t="shared" si="10"/>
        <v/>
      </c>
      <c r="G121" s="234" t="str">
        <f t="shared" si="11"/>
        <v/>
      </c>
      <c r="H121" s="234" t="str">
        <f t="shared" si="12"/>
        <v/>
      </c>
      <c r="I121" s="234" t="str">
        <f t="shared" si="13"/>
        <v/>
      </c>
      <c r="J121" s="234" t="str">
        <f t="shared" si="14"/>
        <v/>
      </c>
      <c r="K121" s="234"/>
      <c r="L121" s="234"/>
      <c r="M121" s="234"/>
      <c r="N121" s="234"/>
      <c r="O121" s="234"/>
    </row>
    <row r="122" spans="2:15">
      <c r="B122" s="233" t="str">
        <f t="shared" si="15"/>
        <v/>
      </c>
      <c r="C122" s="243" t="str">
        <f t="shared" si="16"/>
        <v/>
      </c>
      <c r="D122" s="234" t="str">
        <f t="shared" si="17"/>
        <v/>
      </c>
      <c r="E122" s="234" t="str">
        <f t="shared" si="9"/>
        <v/>
      </c>
      <c r="F122" s="234" t="str">
        <f t="shared" si="10"/>
        <v/>
      </c>
      <c r="G122" s="234" t="str">
        <f t="shared" si="11"/>
        <v/>
      </c>
      <c r="H122" s="234" t="str">
        <f t="shared" si="12"/>
        <v/>
      </c>
      <c r="I122" s="234" t="str">
        <f t="shared" si="13"/>
        <v/>
      </c>
      <c r="J122" s="234" t="str">
        <f t="shared" si="14"/>
        <v/>
      </c>
      <c r="K122" s="234"/>
      <c r="L122" s="234"/>
      <c r="M122" s="234"/>
      <c r="N122" s="234"/>
      <c r="O122" s="234"/>
    </row>
    <row r="123" spans="2:15">
      <c r="B123" s="233" t="str">
        <f t="shared" si="15"/>
        <v/>
      </c>
      <c r="C123" s="243" t="str">
        <f t="shared" si="16"/>
        <v/>
      </c>
      <c r="D123" s="234" t="str">
        <f t="shared" si="17"/>
        <v/>
      </c>
      <c r="E123" s="234" t="str">
        <f t="shared" si="9"/>
        <v/>
      </c>
      <c r="F123" s="234" t="str">
        <f t="shared" si="10"/>
        <v/>
      </c>
      <c r="G123" s="234" t="str">
        <f t="shared" si="11"/>
        <v/>
      </c>
      <c r="H123" s="234" t="str">
        <f t="shared" si="12"/>
        <v/>
      </c>
      <c r="I123" s="234" t="str">
        <f t="shared" si="13"/>
        <v/>
      </c>
      <c r="J123" s="234" t="str">
        <f t="shared" si="14"/>
        <v/>
      </c>
      <c r="K123" s="234"/>
      <c r="L123" s="234"/>
      <c r="M123" s="234"/>
      <c r="N123" s="234"/>
      <c r="O123" s="234"/>
    </row>
    <row r="124" spans="2:15">
      <c r="B124" s="233" t="str">
        <f t="shared" si="15"/>
        <v/>
      </c>
      <c r="C124" s="243" t="str">
        <f t="shared" si="16"/>
        <v/>
      </c>
      <c r="D124" s="234" t="str">
        <f t="shared" si="17"/>
        <v/>
      </c>
      <c r="E124" s="234" t="str">
        <f t="shared" si="9"/>
        <v/>
      </c>
      <c r="F124" s="234" t="str">
        <f t="shared" si="10"/>
        <v/>
      </c>
      <c r="G124" s="234" t="str">
        <f t="shared" si="11"/>
        <v/>
      </c>
      <c r="H124" s="234" t="str">
        <f t="shared" si="12"/>
        <v/>
      </c>
      <c r="I124" s="234" t="str">
        <f t="shared" si="13"/>
        <v/>
      </c>
      <c r="J124" s="234" t="str">
        <f t="shared" si="14"/>
        <v/>
      </c>
      <c r="K124" s="234"/>
      <c r="L124" s="234"/>
      <c r="M124" s="234"/>
      <c r="N124" s="234"/>
      <c r="O124" s="234"/>
    </row>
    <row r="125" spans="2:15">
      <c r="B125" s="233" t="str">
        <f t="shared" si="15"/>
        <v/>
      </c>
      <c r="C125" s="243" t="str">
        <f t="shared" si="16"/>
        <v/>
      </c>
      <c r="D125" s="234" t="str">
        <f t="shared" si="17"/>
        <v/>
      </c>
      <c r="E125" s="234" t="str">
        <f t="shared" si="9"/>
        <v/>
      </c>
      <c r="F125" s="234" t="str">
        <f t="shared" si="10"/>
        <v/>
      </c>
      <c r="G125" s="234" t="str">
        <f t="shared" si="11"/>
        <v/>
      </c>
      <c r="H125" s="234" t="str">
        <f t="shared" si="12"/>
        <v/>
      </c>
      <c r="I125" s="234" t="str">
        <f t="shared" si="13"/>
        <v/>
      </c>
      <c r="J125" s="234" t="str">
        <f t="shared" si="14"/>
        <v/>
      </c>
      <c r="K125" s="234"/>
      <c r="L125" s="234"/>
      <c r="M125" s="234"/>
      <c r="N125" s="234"/>
      <c r="O125" s="234"/>
    </row>
    <row r="126" spans="2:15">
      <c r="B126" s="233" t="str">
        <f t="shared" si="15"/>
        <v/>
      </c>
      <c r="C126" s="243" t="str">
        <f t="shared" si="16"/>
        <v/>
      </c>
      <c r="D126" s="234" t="str">
        <f t="shared" si="17"/>
        <v/>
      </c>
      <c r="E126" s="234" t="str">
        <f t="shared" si="9"/>
        <v/>
      </c>
      <c r="F126" s="234" t="str">
        <f t="shared" si="10"/>
        <v/>
      </c>
      <c r="G126" s="234" t="str">
        <f t="shared" si="11"/>
        <v/>
      </c>
      <c r="H126" s="234" t="str">
        <f t="shared" si="12"/>
        <v/>
      </c>
      <c r="I126" s="234" t="str">
        <f t="shared" si="13"/>
        <v/>
      </c>
      <c r="J126" s="234" t="str">
        <f t="shared" si="14"/>
        <v/>
      </c>
      <c r="K126" s="234"/>
      <c r="L126" s="234"/>
      <c r="M126" s="234"/>
      <c r="N126" s="234"/>
      <c r="O126" s="234"/>
    </row>
    <row r="127" spans="2:15">
      <c r="B127" s="233" t="str">
        <f t="shared" si="15"/>
        <v/>
      </c>
      <c r="C127" s="243" t="str">
        <f t="shared" si="16"/>
        <v/>
      </c>
      <c r="D127" s="234" t="str">
        <f t="shared" si="17"/>
        <v/>
      </c>
      <c r="E127" s="234" t="str">
        <f t="shared" si="9"/>
        <v/>
      </c>
      <c r="F127" s="234" t="str">
        <f t="shared" si="10"/>
        <v/>
      </c>
      <c r="G127" s="234" t="str">
        <f t="shared" si="11"/>
        <v/>
      </c>
      <c r="H127" s="234" t="str">
        <f t="shared" si="12"/>
        <v/>
      </c>
      <c r="I127" s="234" t="str">
        <f t="shared" si="13"/>
        <v/>
      </c>
      <c r="J127" s="234" t="str">
        <f t="shared" si="14"/>
        <v/>
      </c>
      <c r="K127" s="234"/>
      <c r="L127" s="234"/>
      <c r="M127" s="234"/>
      <c r="N127" s="234"/>
      <c r="O127" s="234"/>
    </row>
    <row r="128" spans="2:15">
      <c r="B128" s="233" t="str">
        <f t="shared" si="15"/>
        <v/>
      </c>
      <c r="C128" s="243" t="str">
        <f t="shared" si="16"/>
        <v/>
      </c>
      <c r="D128" s="234" t="str">
        <f t="shared" si="17"/>
        <v/>
      </c>
      <c r="E128" s="234" t="str">
        <f t="shared" si="9"/>
        <v/>
      </c>
      <c r="F128" s="234" t="str">
        <f t="shared" si="10"/>
        <v/>
      </c>
      <c r="G128" s="234" t="str">
        <f t="shared" si="11"/>
        <v/>
      </c>
      <c r="H128" s="234" t="str">
        <f t="shared" si="12"/>
        <v/>
      </c>
      <c r="I128" s="234" t="str">
        <f t="shared" si="13"/>
        <v/>
      </c>
      <c r="J128" s="234" t="str">
        <f t="shared" si="14"/>
        <v/>
      </c>
      <c r="K128" s="234"/>
      <c r="L128" s="234"/>
      <c r="M128" s="234"/>
      <c r="N128" s="234"/>
      <c r="O128" s="234"/>
    </row>
    <row r="129" spans="2:15">
      <c r="B129" s="233" t="str">
        <f t="shared" si="15"/>
        <v/>
      </c>
      <c r="C129" s="243" t="str">
        <f t="shared" si="16"/>
        <v/>
      </c>
      <c r="D129" s="234" t="str">
        <f t="shared" si="17"/>
        <v/>
      </c>
      <c r="E129" s="234" t="str">
        <f t="shared" si="9"/>
        <v/>
      </c>
      <c r="F129" s="234" t="str">
        <f t="shared" si="10"/>
        <v/>
      </c>
      <c r="G129" s="234" t="str">
        <f t="shared" si="11"/>
        <v/>
      </c>
      <c r="H129" s="234" t="str">
        <f t="shared" si="12"/>
        <v/>
      </c>
      <c r="I129" s="234" t="str">
        <f t="shared" si="13"/>
        <v/>
      </c>
      <c r="J129" s="234" t="str">
        <f t="shared" si="14"/>
        <v/>
      </c>
      <c r="K129" s="234"/>
      <c r="L129" s="234"/>
      <c r="M129" s="234"/>
      <c r="N129" s="234"/>
      <c r="O129" s="234"/>
    </row>
    <row r="130" spans="2:15">
      <c r="B130" s="233" t="str">
        <f t="shared" si="15"/>
        <v/>
      </c>
      <c r="C130" s="243" t="str">
        <f t="shared" si="16"/>
        <v/>
      </c>
      <c r="D130" s="234" t="str">
        <f t="shared" si="17"/>
        <v/>
      </c>
      <c r="E130" s="234" t="str">
        <f t="shared" si="9"/>
        <v/>
      </c>
      <c r="F130" s="234" t="str">
        <f t="shared" si="10"/>
        <v/>
      </c>
      <c r="G130" s="234" t="str">
        <f t="shared" si="11"/>
        <v/>
      </c>
      <c r="H130" s="234" t="str">
        <f t="shared" si="12"/>
        <v/>
      </c>
      <c r="I130" s="234" t="str">
        <f t="shared" si="13"/>
        <v/>
      </c>
      <c r="J130" s="234" t="str">
        <f t="shared" si="14"/>
        <v/>
      </c>
      <c r="K130" s="234"/>
      <c r="L130" s="234"/>
      <c r="M130" s="234"/>
      <c r="N130" s="234"/>
      <c r="O130" s="234"/>
    </row>
    <row r="131" spans="2:15">
      <c r="B131" s="233" t="str">
        <f t="shared" si="15"/>
        <v/>
      </c>
      <c r="C131" s="243" t="str">
        <f t="shared" si="16"/>
        <v/>
      </c>
      <c r="D131" s="234" t="str">
        <f t="shared" si="17"/>
        <v/>
      </c>
      <c r="E131" s="234" t="str">
        <f t="shared" si="9"/>
        <v/>
      </c>
      <c r="F131" s="234" t="str">
        <f t="shared" si="10"/>
        <v/>
      </c>
      <c r="G131" s="234" t="str">
        <f t="shared" si="11"/>
        <v/>
      </c>
      <c r="H131" s="234" t="str">
        <f t="shared" si="12"/>
        <v/>
      </c>
      <c r="I131" s="234" t="str">
        <f t="shared" si="13"/>
        <v/>
      </c>
      <c r="J131" s="234" t="str">
        <f t="shared" si="14"/>
        <v/>
      </c>
      <c r="K131" s="234"/>
      <c r="L131" s="234"/>
      <c r="M131" s="234"/>
      <c r="N131" s="234"/>
      <c r="O131" s="234"/>
    </row>
    <row r="132" spans="2:15">
      <c r="B132" s="233" t="str">
        <f t="shared" si="15"/>
        <v/>
      </c>
      <c r="C132" s="243" t="str">
        <f t="shared" si="16"/>
        <v/>
      </c>
      <c r="D132" s="234" t="str">
        <f t="shared" si="17"/>
        <v/>
      </c>
      <c r="E132" s="234" t="str">
        <f t="shared" si="9"/>
        <v/>
      </c>
      <c r="F132" s="234" t="str">
        <f t="shared" si="10"/>
        <v/>
      </c>
      <c r="G132" s="234" t="str">
        <f t="shared" si="11"/>
        <v/>
      </c>
      <c r="H132" s="234" t="str">
        <f t="shared" si="12"/>
        <v/>
      </c>
      <c r="I132" s="234" t="str">
        <f t="shared" si="13"/>
        <v/>
      </c>
      <c r="J132" s="234" t="str">
        <f t="shared" si="14"/>
        <v/>
      </c>
      <c r="K132" s="234"/>
      <c r="L132" s="234"/>
      <c r="M132" s="234"/>
      <c r="N132" s="234"/>
      <c r="O132" s="234"/>
    </row>
    <row r="133" spans="2:15">
      <c r="B133" s="233" t="str">
        <f t="shared" si="15"/>
        <v/>
      </c>
      <c r="C133" s="243" t="str">
        <f t="shared" si="16"/>
        <v/>
      </c>
      <c r="D133" s="234" t="str">
        <f t="shared" si="17"/>
        <v/>
      </c>
      <c r="E133" s="234" t="str">
        <f t="shared" si="9"/>
        <v/>
      </c>
      <c r="F133" s="234" t="str">
        <f t="shared" si="10"/>
        <v/>
      </c>
      <c r="G133" s="234" t="str">
        <f t="shared" si="11"/>
        <v/>
      </c>
      <c r="H133" s="234" t="str">
        <f t="shared" si="12"/>
        <v/>
      </c>
      <c r="I133" s="234" t="str">
        <f t="shared" si="13"/>
        <v/>
      </c>
      <c r="J133" s="234" t="str">
        <f t="shared" si="14"/>
        <v/>
      </c>
      <c r="K133" s="234"/>
      <c r="L133" s="234"/>
      <c r="M133" s="234"/>
      <c r="N133" s="234"/>
      <c r="O133" s="234"/>
    </row>
    <row r="134" spans="2:15">
      <c r="B134" s="233" t="str">
        <f t="shared" si="15"/>
        <v/>
      </c>
      <c r="C134" s="243" t="str">
        <f t="shared" si="16"/>
        <v/>
      </c>
      <c r="D134" s="234" t="str">
        <f t="shared" si="17"/>
        <v/>
      </c>
      <c r="E134" s="234" t="str">
        <f t="shared" si="9"/>
        <v/>
      </c>
      <c r="F134" s="234" t="str">
        <f t="shared" si="10"/>
        <v/>
      </c>
      <c r="G134" s="234" t="str">
        <f t="shared" si="11"/>
        <v/>
      </c>
      <c r="H134" s="234" t="str">
        <f t="shared" si="12"/>
        <v/>
      </c>
      <c r="I134" s="234" t="str">
        <f t="shared" si="13"/>
        <v/>
      </c>
      <c r="J134" s="234" t="str">
        <f t="shared" si="14"/>
        <v/>
      </c>
      <c r="K134" s="234"/>
      <c r="L134" s="234"/>
      <c r="M134" s="234"/>
      <c r="N134" s="234"/>
      <c r="O134" s="234"/>
    </row>
    <row r="135" spans="2:15">
      <c r="B135" s="233" t="str">
        <f t="shared" si="15"/>
        <v/>
      </c>
      <c r="C135" s="243" t="str">
        <f t="shared" si="16"/>
        <v/>
      </c>
      <c r="D135" s="234" t="str">
        <f t="shared" si="17"/>
        <v/>
      </c>
      <c r="E135" s="234" t="str">
        <f t="shared" si="9"/>
        <v/>
      </c>
      <c r="F135" s="234" t="str">
        <f t="shared" si="10"/>
        <v/>
      </c>
      <c r="G135" s="234" t="str">
        <f t="shared" si="11"/>
        <v/>
      </c>
      <c r="H135" s="234" t="str">
        <f t="shared" si="12"/>
        <v/>
      </c>
      <c r="I135" s="234" t="str">
        <f t="shared" si="13"/>
        <v/>
      </c>
      <c r="J135" s="234" t="str">
        <f t="shared" si="14"/>
        <v/>
      </c>
      <c r="K135" s="234"/>
      <c r="L135" s="234"/>
      <c r="M135" s="234"/>
      <c r="N135" s="234"/>
      <c r="O135" s="234"/>
    </row>
    <row r="136" spans="2:15">
      <c r="B136" s="233" t="str">
        <f t="shared" si="15"/>
        <v/>
      </c>
      <c r="C136" s="243" t="str">
        <f t="shared" si="16"/>
        <v/>
      </c>
      <c r="D136" s="234" t="str">
        <f t="shared" si="17"/>
        <v/>
      </c>
      <c r="E136" s="234" t="str">
        <f t="shared" si="9"/>
        <v/>
      </c>
      <c r="F136" s="234" t="str">
        <f t="shared" si="10"/>
        <v/>
      </c>
      <c r="G136" s="234" t="str">
        <f t="shared" si="11"/>
        <v/>
      </c>
      <c r="H136" s="234" t="str">
        <f t="shared" si="12"/>
        <v/>
      </c>
      <c r="I136" s="234" t="str">
        <f t="shared" si="13"/>
        <v/>
      </c>
      <c r="J136" s="234" t="str">
        <f t="shared" si="14"/>
        <v/>
      </c>
      <c r="K136" s="234"/>
      <c r="L136" s="234"/>
      <c r="M136" s="234"/>
      <c r="N136" s="234"/>
      <c r="O136" s="234"/>
    </row>
    <row r="137" spans="2:15">
      <c r="B137" s="233" t="str">
        <f t="shared" si="15"/>
        <v/>
      </c>
      <c r="C137" s="243" t="str">
        <f t="shared" si="16"/>
        <v/>
      </c>
      <c r="D137" s="234" t="str">
        <f t="shared" si="17"/>
        <v/>
      </c>
      <c r="E137" s="234" t="str">
        <f t="shared" si="9"/>
        <v/>
      </c>
      <c r="F137" s="234" t="str">
        <f t="shared" si="10"/>
        <v/>
      </c>
      <c r="G137" s="234" t="str">
        <f t="shared" si="11"/>
        <v/>
      </c>
      <c r="H137" s="234" t="str">
        <f t="shared" si="12"/>
        <v/>
      </c>
      <c r="I137" s="234" t="str">
        <f t="shared" si="13"/>
        <v/>
      </c>
      <c r="J137" s="234" t="str">
        <f t="shared" si="14"/>
        <v/>
      </c>
      <c r="K137" s="234"/>
      <c r="L137" s="234"/>
      <c r="M137" s="234"/>
      <c r="N137" s="234"/>
      <c r="O137" s="234"/>
    </row>
    <row r="138" spans="2:15">
      <c r="B138" s="233" t="str">
        <f t="shared" si="15"/>
        <v/>
      </c>
      <c r="C138" s="243" t="str">
        <f t="shared" si="16"/>
        <v/>
      </c>
      <c r="D138" s="234" t="str">
        <f t="shared" si="17"/>
        <v/>
      </c>
      <c r="E138" s="234" t="str">
        <f t="shared" si="9"/>
        <v/>
      </c>
      <c r="F138" s="234" t="str">
        <f t="shared" si="10"/>
        <v/>
      </c>
      <c r="G138" s="234" t="str">
        <f t="shared" si="11"/>
        <v/>
      </c>
      <c r="H138" s="234" t="str">
        <f t="shared" si="12"/>
        <v/>
      </c>
      <c r="I138" s="234" t="str">
        <f t="shared" si="13"/>
        <v/>
      </c>
      <c r="J138" s="234" t="str">
        <f t="shared" si="14"/>
        <v/>
      </c>
      <c r="K138" s="234"/>
      <c r="L138" s="234"/>
      <c r="M138" s="234"/>
      <c r="N138" s="234"/>
      <c r="O138" s="234"/>
    </row>
    <row r="139" spans="2:15">
      <c r="B139" s="233" t="str">
        <f t="shared" si="15"/>
        <v/>
      </c>
      <c r="C139" s="243" t="str">
        <f t="shared" si="16"/>
        <v/>
      </c>
      <c r="D139" s="234" t="str">
        <f t="shared" si="17"/>
        <v/>
      </c>
      <c r="E139" s="234" t="str">
        <f t="shared" si="9"/>
        <v/>
      </c>
      <c r="F139" s="234" t="str">
        <f t="shared" si="10"/>
        <v/>
      </c>
      <c r="G139" s="234" t="str">
        <f t="shared" si="11"/>
        <v/>
      </c>
      <c r="H139" s="234" t="str">
        <f t="shared" si="12"/>
        <v/>
      </c>
      <c r="I139" s="234" t="str">
        <f t="shared" si="13"/>
        <v/>
      </c>
      <c r="J139" s="234" t="str">
        <f t="shared" si="14"/>
        <v/>
      </c>
      <c r="K139" s="234"/>
      <c r="L139" s="234"/>
      <c r="M139" s="234"/>
      <c r="N139" s="234"/>
      <c r="O139" s="234"/>
    </row>
    <row r="140" spans="2:15">
      <c r="B140" s="233" t="str">
        <f t="shared" si="15"/>
        <v/>
      </c>
      <c r="C140" s="243" t="str">
        <f t="shared" si="16"/>
        <v/>
      </c>
      <c r="D140" s="234" t="str">
        <f t="shared" si="17"/>
        <v/>
      </c>
      <c r="E140" s="234" t="str">
        <f t="shared" si="9"/>
        <v/>
      </c>
      <c r="F140" s="234" t="str">
        <f t="shared" si="10"/>
        <v/>
      </c>
      <c r="G140" s="234" t="str">
        <f t="shared" si="11"/>
        <v/>
      </c>
      <c r="H140" s="234" t="str">
        <f t="shared" si="12"/>
        <v/>
      </c>
      <c r="I140" s="234" t="str">
        <f t="shared" si="13"/>
        <v/>
      </c>
      <c r="J140" s="234" t="str">
        <f t="shared" si="14"/>
        <v/>
      </c>
      <c r="K140" s="234"/>
      <c r="L140" s="234"/>
      <c r="M140" s="234"/>
      <c r="N140" s="234"/>
      <c r="O140" s="234"/>
    </row>
    <row r="141" spans="2:15">
      <c r="B141" s="233" t="str">
        <f t="shared" si="15"/>
        <v/>
      </c>
      <c r="C141" s="243" t="str">
        <f t="shared" si="16"/>
        <v/>
      </c>
      <c r="D141" s="234" t="str">
        <f t="shared" si="17"/>
        <v/>
      </c>
      <c r="E141" s="234" t="str">
        <f t="shared" si="9"/>
        <v/>
      </c>
      <c r="F141" s="234" t="str">
        <f t="shared" si="10"/>
        <v/>
      </c>
      <c r="G141" s="234" t="str">
        <f t="shared" si="11"/>
        <v/>
      </c>
      <c r="H141" s="234" t="str">
        <f t="shared" si="12"/>
        <v/>
      </c>
      <c r="I141" s="234" t="str">
        <f t="shared" si="13"/>
        <v/>
      </c>
      <c r="J141" s="234" t="str">
        <f t="shared" si="14"/>
        <v/>
      </c>
      <c r="K141" s="234"/>
      <c r="L141" s="234"/>
      <c r="M141" s="234"/>
      <c r="N141" s="234"/>
      <c r="O141" s="234"/>
    </row>
    <row r="142" spans="2:15">
      <c r="B142" s="233" t="str">
        <f t="shared" si="15"/>
        <v/>
      </c>
      <c r="C142" s="243" t="str">
        <f t="shared" si="16"/>
        <v/>
      </c>
      <c r="D142" s="234" t="str">
        <f t="shared" si="17"/>
        <v/>
      </c>
      <c r="E142" s="234" t="str">
        <f t="shared" si="9"/>
        <v/>
      </c>
      <c r="F142" s="234" t="str">
        <f t="shared" si="10"/>
        <v/>
      </c>
      <c r="G142" s="234" t="str">
        <f t="shared" si="11"/>
        <v/>
      </c>
      <c r="H142" s="234" t="str">
        <f t="shared" si="12"/>
        <v/>
      </c>
      <c r="I142" s="234" t="str">
        <f t="shared" si="13"/>
        <v/>
      </c>
      <c r="J142" s="234" t="str">
        <f t="shared" si="14"/>
        <v/>
      </c>
      <c r="K142" s="234"/>
      <c r="L142" s="234"/>
      <c r="M142" s="234"/>
      <c r="N142" s="234"/>
      <c r="O142" s="234"/>
    </row>
    <row r="143" spans="2:15">
      <c r="B143" s="233" t="str">
        <f t="shared" si="15"/>
        <v/>
      </c>
      <c r="C143" s="243" t="str">
        <f t="shared" si="16"/>
        <v/>
      </c>
      <c r="D143" s="234" t="str">
        <f t="shared" si="17"/>
        <v/>
      </c>
      <c r="E143" s="234" t="str">
        <f t="shared" si="9"/>
        <v/>
      </c>
      <c r="F143" s="234" t="str">
        <f t="shared" si="10"/>
        <v/>
      </c>
      <c r="G143" s="234" t="str">
        <f t="shared" si="11"/>
        <v/>
      </c>
      <c r="H143" s="234" t="str">
        <f t="shared" si="12"/>
        <v/>
      </c>
      <c r="I143" s="234" t="str">
        <f t="shared" si="13"/>
        <v/>
      </c>
      <c r="J143" s="234" t="str">
        <f t="shared" si="14"/>
        <v/>
      </c>
      <c r="K143" s="234"/>
      <c r="L143" s="234"/>
      <c r="M143" s="234"/>
      <c r="N143" s="234"/>
      <c r="O143" s="234"/>
    </row>
    <row r="144" spans="2:15">
      <c r="B144" s="233" t="str">
        <f t="shared" si="15"/>
        <v/>
      </c>
      <c r="C144" s="243" t="str">
        <f t="shared" si="16"/>
        <v/>
      </c>
      <c r="D144" s="234" t="str">
        <f t="shared" si="17"/>
        <v/>
      </c>
      <c r="E144" s="234" t="str">
        <f t="shared" si="9"/>
        <v/>
      </c>
      <c r="F144" s="234" t="str">
        <f t="shared" si="10"/>
        <v/>
      </c>
      <c r="G144" s="234" t="str">
        <f t="shared" si="11"/>
        <v/>
      </c>
      <c r="H144" s="234" t="str">
        <f t="shared" si="12"/>
        <v/>
      </c>
      <c r="I144" s="234" t="str">
        <f t="shared" si="13"/>
        <v/>
      </c>
      <c r="J144" s="234" t="str">
        <f t="shared" si="14"/>
        <v/>
      </c>
      <c r="K144" s="234"/>
      <c r="L144" s="234"/>
      <c r="M144" s="234"/>
      <c r="N144" s="234"/>
      <c r="O144" s="234"/>
    </row>
    <row r="145" spans="2:15">
      <c r="B145" s="233" t="str">
        <f t="shared" si="15"/>
        <v/>
      </c>
      <c r="C145" s="243" t="str">
        <f t="shared" si="16"/>
        <v/>
      </c>
      <c r="D145" s="234" t="str">
        <f t="shared" si="17"/>
        <v/>
      </c>
      <c r="E145" s="234" t="str">
        <f t="shared" si="9"/>
        <v/>
      </c>
      <c r="F145" s="234" t="str">
        <f t="shared" si="10"/>
        <v/>
      </c>
      <c r="G145" s="234" t="str">
        <f t="shared" si="11"/>
        <v/>
      </c>
      <c r="H145" s="234" t="str">
        <f t="shared" si="12"/>
        <v/>
      </c>
      <c r="I145" s="234" t="str">
        <f t="shared" si="13"/>
        <v/>
      </c>
      <c r="J145" s="234" t="str">
        <f t="shared" si="14"/>
        <v/>
      </c>
      <c r="K145" s="234"/>
      <c r="L145" s="234"/>
      <c r="M145" s="234"/>
      <c r="N145" s="234"/>
      <c r="O145" s="234"/>
    </row>
    <row r="146" spans="2:15">
      <c r="B146" s="233" t="str">
        <f t="shared" si="15"/>
        <v/>
      </c>
      <c r="C146" s="243" t="str">
        <f t="shared" si="16"/>
        <v/>
      </c>
      <c r="D146" s="234" t="str">
        <f t="shared" si="17"/>
        <v/>
      </c>
      <c r="E146" s="234" t="str">
        <f t="shared" si="9"/>
        <v/>
      </c>
      <c r="F146" s="234" t="str">
        <f t="shared" si="10"/>
        <v/>
      </c>
      <c r="G146" s="234" t="str">
        <f t="shared" si="11"/>
        <v/>
      </c>
      <c r="H146" s="234" t="str">
        <f t="shared" si="12"/>
        <v/>
      </c>
      <c r="I146" s="234" t="str">
        <f t="shared" si="13"/>
        <v/>
      </c>
      <c r="J146" s="234" t="str">
        <f t="shared" si="14"/>
        <v/>
      </c>
      <c r="K146" s="234"/>
      <c r="L146" s="234"/>
      <c r="M146" s="234"/>
      <c r="N146" s="234"/>
      <c r="O146" s="234"/>
    </row>
    <row r="147" spans="2:15">
      <c r="B147" s="233" t="str">
        <f t="shared" si="15"/>
        <v/>
      </c>
      <c r="C147" s="243" t="str">
        <f t="shared" si="16"/>
        <v/>
      </c>
      <c r="D147" s="234" t="str">
        <f t="shared" si="17"/>
        <v/>
      </c>
      <c r="E147" s="234" t="str">
        <f t="shared" si="9"/>
        <v/>
      </c>
      <c r="F147" s="234" t="str">
        <f t="shared" si="10"/>
        <v/>
      </c>
      <c r="G147" s="234" t="str">
        <f t="shared" si="11"/>
        <v/>
      </c>
      <c r="H147" s="234" t="str">
        <f t="shared" si="12"/>
        <v/>
      </c>
      <c r="I147" s="234" t="str">
        <f t="shared" si="13"/>
        <v/>
      </c>
      <c r="J147" s="234" t="str">
        <f t="shared" si="14"/>
        <v/>
      </c>
      <c r="K147" s="234"/>
      <c r="L147" s="234"/>
      <c r="M147" s="234"/>
      <c r="N147" s="234"/>
      <c r="O147" s="234"/>
    </row>
    <row r="148" spans="2:15">
      <c r="B148" s="233" t="str">
        <f t="shared" si="15"/>
        <v/>
      </c>
      <c r="C148" s="243" t="str">
        <f t="shared" si="16"/>
        <v/>
      </c>
      <c r="D148" s="234" t="str">
        <f t="shared" si="17"/>
        <v/>
      </c>
      <c r="E148" s="234" t="str">
        <f t="shared" si="9"/>
        <v/>
      </c>
      <c r="F148" s="234" t="str">
        <f t="shared" si="10"/>
        <v/>
      </c>
      <c r="G148" s="234" t="str">
        <f t="shared" si="11"/>
        <v/>
      </c>
      <c r="H148" s="234" t="str">
        <f t="shared" si="12"/>
        <v/>
      </c>
      <c r="I148" s="234" t="str">
        <f t="shared" si="13"/>
        <v/>
      </c>
      <c r="J148" s="234" t="str">
        <f t="shared" si="14"/>
        <v/>
      </c>
      <c r="K148" s="234"/>
      <c r="L148" s="234"/>
      <c r="M148" s="234"/>
      <c r="N148" s="234"/>
      <c r="O148" s="234"/>
    </row>
    <row r="149" spans="2:15">
      <c r="B149" s="233" t="str">
        <f t="shared" si="15"/>
        <v/>
      </c>
      <c r="C149" s="243" t="str">
        <f t="shared" si="16"/>
        <v/>
      </c>
      <c r="D149" s="234" t="str">
        <f t="shared" si="17"/>
        <v/>
      </c>
      <c r="E149" s="234" t="str">
        <f t="shared" si="9"/>
        <v/>
      </c>
      <c r="F149" s="234" t="str">
        <f t="shared" si="10"/>
        <v/>
      </c>
      <c r="G149" s="234" t="str">
        <f t="shared" si="11"/>
        <v/>
      </c>
      <c r="H149" s="234" t="str">
        <f t="shared" si="12"/>
        <v/>
      </c>
      <c r="I149" s="234" t="str">
        <f t="shared" si="13"/>
        <v/>
      </c>
      <c r="J149" s="234" t="str">
        <f t="shared" si="14"/>
        <v/>
      </c>
      <c r="K149" s="234"/>
      <c r="L149" s="234"/>
      <c r="M149" s="234"/>
      <c r="N149" s="234"/>
      <c r="O149" s="234"/>
    </row>
    <row r="150" spans="2:15">
      <c r="B150" s="233" t="str">
        <f t="shared" si="15"/>
        <v/>
      </c>
      <c r="C150" s="243" t="str">
        <f t="shared" si="16"/>
        <v/>
      </c>
      <c r="D150" s="234" t="str">
        <f t="shared" si="17"/>
        <v/>
      </c>
      <c r="E150" s="234" t="str">
        <f t="shared" si="9"/>
        <v/>
      </c>
      <c r="F150" s="234" t="str">
        <f t="shared" si="10"/>
        <v/>
      </c>
      <c r="G150" s="234" t="str">
        <f t="shared" si="11"/>
        <v/>
      </c>
      <c r="H150" s="234" t="str">
        <f t="shared" si="12"/>
        <v/>
      </c>
      <c r="I150" s="234" t="str">
        <f t="shared" si="13"/>
        <v/>
      </c>
      <c r="J150" s="234" t="str">
        <f t="shared" si="14"/>
        <v/>
      </c>
      <c r="K150" s="234"/>
      <c r="L150" s="234"/>
      <c r="M150" s="234"/>
      <c r="N150" s="234"/>
      <c r="O150" s="234"/>
    </row>
    <row r="151" spans="2:15">
      <c r="B151" s="233" t="str">
        <f t="shared" si="15"/>
        <v/>
      </c>
      <c r="C151" s="243" t="str">
        <f t="shared" si="16"/>
        <v/>
      </c>
      <c r="D151" s="234" t="str">
        <f t="shared" si="17"/>
        <v/>
      </c>
      <c r="E151" s="234" t="str">
        <f t="shared" si="9"/>
        <v/>
      </c>
      <c r="F151" s="234" t="str">
        <f t="shared" si="10"/>
        <v/>
      </c>
      <c r="G151" s="234" t="str">
        <f t="shared" si="11"/>
        <v/>
      </c>
      <c r="H151" s="234" t="str">
        <f t="shared" si="12"/>
        <v/>
      </c>
      <c r="I151" s="234" t="str">
        <f t="shared" si="13"/>
        <v/>
      </c>
      <c r="J151" s="234" t="str">
        <f t="shared" si="14"/>
        <v/>
      </c>
      <c r="K151" s="234"/>
      <c r="L151" s="234"/>
      <c r="M151" s="234"/>
      <c r="N151" s="234"/>
      <c r="O151" s="234"/>
    </row>
    <row r="152" spans="2:15">
      <c r="B152" s="233" t="str">
        <f t="shared" si="15"/>
        <v/>
      </c>
      <c r="C152" s="243" t="str">
        <f t="shared" si="16"/>
        <v/>
      </c>
      <c r="D152" s="234" t="str">
        <f t="shared" si="17"/>
        <v/>
      </c>
      <c r="E152" s="234" t="str">
        <f t="shared" si="9"/>
        <v/>
      </c>
      <c r="F152" s="234" t="str">
        <f t="shared" si="10"/>
        <v/>
      </c>
      <c r="G152" s="234" t="str">
        <f t="shared" si="11"/>
        <v/>
      </c>
      <c r="H152" s="234" t="str">
        <f t="shared" si="12"/>
        <v/>
      </c>
      <c r="I152" s="234" t="str">
        <f t="shared" si="13"/>
        <v/>
      </c>
      <c r="J152" s="234" t="str">
        <f t="shared" si="14"/>
        <v/>
      </c>
      <c r="K152" s="234"/>
      <c r="L152" s="234"/>
      <c r="M152" s="234"/>
      <c r="N152" s="234"/>
      <c r="O152" s="234"/>
    </row>
    <row r="153" spans="2:15">
      <c r="B153" s="233" t="str">
        <f t="shared" si="15"/>
        <v/>
      </c>
      <c r="C153" s="243" t="str">
        <f t="shared" si="16"/>
        <v/>
      </c>
      <c r="D153" s="234" t="str">
        <f t="shared" si="17"/>
        <v/>
      </c>
      <c r="E153" s="234" t="str">
        <f t="shared" ref="E153:E216" si="18">IF(B153&lt;&gt;"",$E$17,"")</f>
        <v/>
      </c>
      <c r="F153" s="234" t="str">
        <f t="shared" ref="F153:F216" si="19">IF(B153&lt;&gt;"",$E$13,"")</f>
        <v/>
      </c>
      <c r="G153" s="234" t="str">
        <f t="shared" ref="G153:G216" si="20">IF(B153&lt;&gt;"",E153+F153,"")</f>
        <v/>
      </c>
      <c r="H153" s="234" t="str">
        <f t="shared" ref="H153:H216" si="21">IF(B153&lt;&gt;"",E153+F153-I153,"")</f>
        <v/>
      </c>
      <c r="I153" s="234" t="str">
        <f t="shared" ref="I153:I216" si="22">IF(B153&lt;&gt;"",D153*$E$10/12,"")</f>
        <v/>
      </c>
      <c r="J153" s="234" t="str">
        <f t="shared" ref="J153:J216" si="23">IF(B153&lt;&gt;"",D153-H153,"")</f>
        <v/>
      </c>
      <c r="K153" s="234"/>
      <c r="L153" s="234"/>
      <c r="M153" s="234"/>
      <c r="N153" s="234"/>
      <c r="O153" s="234"/>
    </row>
    <row r="154" spans="2:15">
      <c r="B154" s="233" t="str">
        <f t="shared" ref="B154:B217" si="24">IF(OR(ISERROR(IF(B153+1&lt;=$E$18,B153+1,"")),J153&lt;=0),"",IF(B153+1&lt;=$E$18,B153+1,""))</f>
        <v/>
      </c>
      <c r="C154" s="243" t="str">
        <f t="shared" ref="C154:C217" si="25">IF(B154&lt;&gt;"",DATE(YEAR(C153),MONTH(C153)+1,DAY(C153)),"")</f>
        <v/>
      </c>
      <c r="D154" s="234" t="str">
        <f t="shared" ref="D154:D217" si="26">IF(B154&lt;&gt;"",J153,"")</f>
        <v/>
      </c>
      <c r="E154" s="234" t="str">
        <f t="shared" si="18"/>
        <v/>
      </c>
      <c r="F154" s="234" t="str">
        <f t="shared" si="19"/>
        <v/>
      </c>
      <c r="G154" s="234" t="str">
        <f t="shared" si="20"/>
        <v/>
      </c>
      <c r="H154" s="234" t="str">
        <f t="shared" si="21"/>
        <v/>
      </c>
      <c r="I154" s="234" t="str">
        <f t="shared" si="22"/>
        <v/>
      </c>
      <c r="J154" s="234" t="str">
        <f t="shared" si="23"/>
        <v/>
      </c>
      <c r="K154" s="234"/>
      <c r="L154" s="234"/>
      <c r="M154" s="234"/>
      <c r="N154" s="234"/>
      <c r="O154" s="234"/>
    </row>
    <row r="155" spans="2:15">
      <c r="B155" s="233" t="str">
        <f t="shared" si="24"/>
        <v/>
      </c>
      <c r="C155" s="243" t="str">
        <f t="shared" si="25"/>
        <v/>
      </c>
      <c r="D155" s="234" t="str">
        <f t="shared" si="26"/>
        <v/>
      </c>
      <c r="E155" s="234" t="str">
        <f t="shared" si="18"/>
        <v/>
      </c>
      <c r="F155" s="234" t="str">
        <f t="shared" si="19"/>
        <v/>
      </c>
      <c r="G155" s="234" t="str">
        <f t="shared" si="20"/>
        <v/>
      </c>
      <c r="H155" s="234" t="str">
        <f t="shared" si="21"/>
        <v/>
      </c>
      <c r="I155" s="234" t="str">
        <f t="shared" si="22"/>
        <v/>
      </c>
      <c r="J155" s="234" t="str">
        <f t="shared" si="23"/>
        <v/>
      </c>
      <c r="K155" s="234"/>
      <c r="L155" s="234"/>
      <c r="M155" s="234"/>
      <c r="N155" s="234"/>
      <c r="O155" s="234"/>
    </row>
    <row r="156" spans="2:15">
      <c r="B156" s="233" t="str">
        <f t="shared" si="24"/>
        <v/>
      </c>
      <c r="C156" s="243" t="str">
        <f t="shared" si="25"/>
        <v/>
      </c>
      <c r="D156" s="234" t="str">
        <f t="shared" si="26"/>
        <v/>
      </c>
      <c r="E156" s="234" t="str">
        <f t="shared" si="18"/>
        <v/>
      </c>
      <c r="F156" s="234" t="str">
        <f t="shared" si="19"/>
        <v/>
      </c>
      <c r="G156" s="234" t="str">
        <f t="shared" si="20"/>
        <v/>
      </c>
      <c r="H156" s="234" t="str">
        <f t="shared" si="21"/>
        <v/>
      </c>
      <c r="I156" s="234" t="str">
        <f t="shared" si="22"/>
        <v/>
      </c>
      <c r="J156" s="234" t="str">
        <f t="shared" si="23"/>
        <v/>
      </c>
      <c r="K156" s="234"/>
      <c r="L156" s="234"/>
      <c r="M156" s="234"/>
      <c r="N156" s="234"/>
      <c r="O156" s="234"/>
    </row>
    <row r="157" spans="2:15">
      <c r="B157" s="233" t="str">
        <f t="shared" si="24"/>
        <v/>
      </c>
      <c r="C157" s="243" t="str">
        <f t="shared" si="25"/>
        <v/>
      </c>
      <c r="D157" s="234" t="str">
        <f t="shared" si="26"/>
        <v/>
      </c>
      <c r="E157" s="234" t="str">
        <f t="shared" si="18"/>
        <v/>
      </c>
      <c r="F157" s="234" t="str">
        <f t="shared" si="19"/>
        <v/>
      </c>
      <c r="G157" s="234" t="str">
        <f t="shared" si="20"/>
        <v/>
      </c>
      <c r="H157" s="234" t="str">
        <f t="shared" si="21"/>
        <v/>
      </c>
      <c r="I157" s="234" t="str">
        <f t="shared" si="22"/>
        <v/>
      </c>
      <c r="J157" s="234" t="str">
        <f t="shared" si="23"/>
        <v/>
      </c>
      <c r="K157" s="234"/>
      <c r="L157" s="234"/>
      <c r="M157" s="234"/>
      <c r="N157" s="234"/>
      <c r="O157" s="234"/>
    </row>
    <row r="158" spans="2:15">
      <c r="B158" s="233" t="str">
        <f t="shared" si="24"/>
        <v/>
      </c>
      <c r="C158" s="243" t="str">
        <f t="shared" si="25"/>
        <v/>
      </c>
      <c r="D158" s="234" t="str">
        <f t="shared" si="26"/>
        <v/>
      </c>
      <c r="E158" s="234" t="str">
        <f t="shared" si="18"/>
        <v/>
      </c>
      <c r="F158" s="234" t="str">
        <f t="shared" si="19"/>
        <v/>
      </c>
      <c r="G158" s="234" t="str">
        <f t="shared" si="20"/>
        <v/>
      </c>
      <c r="H158" s="234" t="str">
        <f t="shared" si="21"/>
        <v/>
      </c>
      <c r="I158" s="234" t="str">
        <f t="shared" si="22"/>
        <v/>
      </c>
      <c r="J158" s="234" t="str">
        <f t="shared" si="23"/>
        <v/>
      </c>
      <c r="K158" s="234"/>
      <c r="L158" s="234"/>
      <c r="M158" s="234"/>
      <c r="N158" s="234"/>
      <c r="O158" s="234"/>
    </row>
    <row r="159" spans="2:15">
      <c r="B159" s="233" t="str">
        <f t="shared" si="24"/>
        <v/>
      </c>
      <c r="C159" s="243" t="str">
        <f t="shared" si="25"/>
        <v/>
      </c>
      <c r="D159" s="234" t="str">
        <f t="shared" si="26"/>
        <v/>
      </c>
      <c r="E159" s="234" t="str">
        <f t="shared" si="18"/>
        <v/>
      </c>
      <c r="F159" s="234" t="str">
        <f t="shared" si="19"/>
        <v/>
      </c>
      <c r="G159" s="234" t="str">
        <f t="shared" si="20"/>
        <v/>
      </c>
      <c r="H159" s="234" t="str">
        <f t="shared" si="21"/>
        <v/>
      </c>
      <c r="I159" s="234" t="str">
        <f t="shared" si="22"/>
        <v/>
      </c>
      <c r="J159" s="234" t="str">
        <f t="shared" si="23"/>
        <v/>
      </c>
      <c r="K159" s="234"/>
      <c r="L159" s="234"/>
      <c r="M159" s="234"/>
      <c r="N159" s="234"/>
      <c r="O159" s="234"/>
    </row>
    <row r="160" spans="2:15">
      <c r="B160" s="233" t="str">
        <f t="shared" si="24"/>
        <v/>
      </c>
      <c r="C160" s="243" t="str">
        <f t="shared" si="25"/>
        <v/>
      </c>
      <c r="D160" s="234" t="str">
        <f t="shared" si="26"/>
        <v/>
      </c>
      <c r="E160" s="234" t="str">
        <f t="shared" si="18"/>
        <v/>
      </c>
      <c r="F160" s="234" t="str">
        <f t="shared" si="19"/>
        <v/>
      </c>
      <c r="G160" s="234" t="str">
        <f t="shared" si="20"/>
        <v/>
      </c>
      <c r="H160" s="234" t="str">
        <f t="shared" si="21"/>
        <v/>
      </c>
      <c r="I160" s="234" t="str">
        <f t="shared" si="22"/>
        <v/>
      </c>
      <c r="J160" s="234" t="str">
        <f t="shared" si="23"/>
        <v/>
      </c>
      <c r="K160" s="234"/>
      <c r="L160" s="234"/>
      <c r="M160" s="234"/>
      <c r="N160" s="234"/>
      <c r="O160" s="234"/>
    </row>
    <row r="161" spans="2:15">
      <c r="B161" s="233" t="str">
        <f t="shared" si="24"/>
        <v/>
      </c>
      <c r="C161" s="243" t="str">
        <f t="shared" si="25"/>
        <v/>
      </c>
      <c r="D161" s="234" t="str">
        <f t="shared" si="26"/>
        <v/>
      </c>
      <c r="E161" s="234" t="str">
        <f t="shared" si="18"/>
        <v/>
      </c>
      <c r="F161" s="234" t="str">
        <f t="shared" si="19"/>
        <v/>
      </c>
      <c r="G161" s="234" t="str">
        <f t="shared" si="20"/>
        <v/>
      </c>
      <c r="H161" s="234" t="str">
        <f t="shared" si="21"/>
        <v/>
      </c>
      <c r="I161" s="234" t="str">
        <f t="shared" si="22"/>
        <v/>
      </c>
      <c r="J161" s="234" t="str">
        <f t="shared" si="23"/>
        <v/>
      </c>
      <c r="K161" s="234"/>
      <c r="L161" s="234"/>
      <c r="M161" s="234"/>
      <c r="N161" s="234"/>
      <c r="O161" s="234"/>
    </row>
    <row r="162" spans="2:15">
      <c r="B162" s="233" t="str">
        <f t="shared" si="24"/>
        <v/>
      </c>
      <c r="C162" s="243" t="str">
        <f t="shared" si="25"/>
        <v/>
      </c>
      <c r="D162" s="234" t="str">
        <f t="shared" si="26"/>
        <v/>
      </c>
      <c r="E162" s="234" t="str">
        <f t="shared" si="18"/>
        <v/>
      </c>
      <c r="F162" s="234" t="str">
        <f t="shared" si="19"/>
        <v/>
      </c>
      <c r="G162" s="234" t="str">
        <f t="shared" si="20"/>
        <v/>
      </c>
      <c r="H162" s="234" t="str">
        <f t="shared" si="21"/>
        <v/>
      </c>
      <c r="I162" s="234" t="str">
        <f t="shared" si="22"/>
        <v/>
      </c>
      <c r="J162" s="234" t="str">
        <f t="shared" si="23"/>
        <v/>
      </c>
      <c r="K162" s="234"/>
      <c r="L162" s="234"/>
      <c r="M162" s="234"/>
      <c r="N162" s="234"/>
      <c r="O162" s="234"/>
    </row>
    <row r="163" spans="2:15">
      <c r="B163" s="233" t="str">
        <f t="shared" si="24"/>
        <v/>
      </c>
      <c r="C163" s="243" t="str">
        <f t="shared" si="25"/>
        <v/>
      </c>
      <c r="D163" s="234" t="str">
        <f t="shared" si="26"/>
        <v/>
      </c>
      <c r="E163" s="234" t="str">
        <f t="shared" si="18"/>
        <v/>
      </c>
      <c r="F163" s="234" t="str">
        <f t="shared" si="19"/>
        <v/>
      </c>
      <c r="G163" s="234" t="str">
        <f t="shared" si="20"/>
        <v/>
      </c>
      <c r="H163" s="234" t="str">
        <f t="shared" si="21"/>
        <v/>
      </c>
      <c r="I163" s="234" t="str">
        <f t="shared" si="22"/>
        <v/>
      </c>
      <c r="J163" s="234" t="str">
        <f t="shared" si="23"/>
        <v/>
      </c>
      <c r="K163" s="234"/>
      <c r="L163" s="234"/>
      <c r="M163" s="234"/>
      <c r="N163" s="234"/>
      <c r="O163" s="234"/>
    </row>
    <row r="164" spans="2:15">
      <c r="B164" s="233" t="str">
        <f t="shared" si="24"/>
        <v/>
      </c>
      <c r="C164" s="243" t="str">
        <f t="shared" si="25"/>
        <v/>
      </c>
      <c r="D164" s="234" t="str">
        <f t="shared" si="26"/>
        <v/>
      </c>
      <c r="E164" s="234" t="str">
        <f t="shared" si="18"/>
        <v/>
      </c>
      <c r="F164" s="234" t="str">
        <f t="shared" si="19"/>
        <v/>
      </c>
      <c r="G164" s="234" t="str">
        <f t="shared" si="20"/>
        <v/>
      </c>
      <c r="H164" s="234" t="str">
        <f t="shared" si="21"/>
        <v/>
      </c>
      <c r="I164" s="234" t="str">
        <f t="shared" si="22"/>
        <v/>
      </c>
      <c r="J164" s="234" t="str">
        <f t="shared" si="23"/>
        <v/>
      </c>
      <c r="K164" s="234"/>
      <c r="L164" s="234"/>
      <c r="M164" s="234"/>
      <c r="N164" s="234"/>
      <c r="O164" s="234"/>
    </row>
    <row r="165" spans="2:15">
      <c r="B165" s="233" t="str">
        <f t="shared" si="24"/>
        <v/>
      </c>
      <c r="C165" s="243" t="str">
        <f t="shared" si="25"/>
        <v/>
      </c>
      <c r="D165" s="234" t="str">
        <f t="shared" si="26"/>
        <v/>
      </c>
      <c r="E165" s="234" t="str">
        <f t="shared" si="18"/>
        <v/>
      </c>
      <c r="F165" s="234" t="str">
        <f t="shared" si="19"/>
        <v/>
      </c>
      <c r="G165" s="234" t="str">
        <f t="shared" si="20"/>
        <v/>
      </c>
      <c r="H165" s="234" t="str">
        <f t="shared" si="21"/>
        <v/>
      </c>
      <c r="I165" s="234" t="str">
        <f t="shared" si="22"/>
        <v/>
      </c>
      <c r="J165" s="234" t="str">
        <f t="shared" si="23"/>
        <v/>
      </c>
      <c r="K165" s="234"/>
      <c r="L165" s="234"/>
      <c r="M165" s="234"/>
      <c r="N165" s="234"/>
      <c r="O165" s="234"/>
    </row>
    <row r="166" spans="2:15">
      <c r="B166" s="233" t="str">
        <f t="shared" si="24"/>
        <v/>
      </c>
      <c r="C166" s="243" t="str">
        <f t="shared" si="25"/>
        <v/>
      </c>
      <c r="D166" s="234" t="str">
        <f t="shared" si="26"/>
        <v/>
      </c>
      <c r="E166" s="234" t="str">
        <f t="shared" si="18"/>
        <v/>
      </c>
      <c r="F166" s="234" t="str">
        <f t="shared" si="19"/>
        <v/>
      </c>
      <c r="G166" s="234" t="str">
        <f t="shared" si="20"/>
        <v/>
      </c>
      <c r="H166" s="234" t="str">
        <f t="shared" si="21"/>
        <v/>
      </c>
      <c r="I166" s="234" t="str">
        <f t="shared" si="22"/>
        <v/>
      </c>
      <c r="J166" s="234" t="str">
        <f t="shared" si="23"/>
        <v/>
      </c>
      <c r="K166" s="234"/>
      <c r="L166" s="234"/>
      <c r="M166" s="234"/>
      <c r="N166" s="234"/>
      <c r="O166" s="234"/>
    </row>
    <row r="167" spans="2:15">
      <c r="B167" s="233" t="str">
        <f t="shared" si="24"/>
        <v/>
      </c>
      <c r="C167" s="243" t="str">
        <f t="shared" si="25"/>
        <v/>
      </c>
      <c r="D167" s="234" t="str">
        <f t="shared" si="26"/>
        <v/>
      </c>
      <c r="E167" s="234" t="str">
        <f t="shared" si="18"/>
        <v/>
      </c>
      <c r="F167" s="234" t="str">
        <f t="shared" si="19"/>
        <v/>
      </c>
      <c r="G167" s="234" t="str">
        <f t="shared" si="20"/>
        <v/>
      </c>
      <c r="H167" s="234" t="str">
        <f t="shared" si="21"/>
        <v/>
      </c>
      <c r="I167" s="234" t="str">
        <f t="shared" si="22"/>
        <v/>
      </c>
      <c r="J167" s="234" t="str">
        <f t="shared" si="23"/>
        <v/>
      </c>
      <c r="K167" s="234"/>
      <c r="L167" s="234"/>
      <c r="M167" s="234"/>
      <c r="N167" s="234"/>
      <c r="O167" s="234"/>
    </row>
    <row r="168" spans="2:15">
      <c r="B168" s="233" t="str">
        <f t="shared" si="24"/>
        <v/>
      </c>
      <c r="C168" s="243" t="str">
        <f t="shared" si="25"/>
        <v/>
      </c>
      <c r="D168" s="234" t="str">
        <f t="shared" si="26"/>
        <v/>
      </c>
      <c r="E168" s="234" t="str">
        <f t="shared" si="18"/>
        <v/>
      </c>
      <c r="F168" s="234" t="str">
        <f t="shared" si="19"/>
        <v/>
      </c>
      <c r="G168" s="234" t="str">
        <f t="shared" si="20"/>
        <v/>
      </c>
      <c r="H168" s="234" t="str">
        <f t="shared" si="21"/>
        <v/>
      </c>
      <c r="I168" s="234" t="str">
        <f t="shared" si="22"/>
        <v/>
      </c>
      <c r="J168" s="234" t="str">
        <f t="shared" si="23"/>
        <v/>
      </c>
      <c r="K168" s="234"/>
      <c r="L168" s="234"/>
      <c r="M168" s="234"/>
      <c r="N168" s="234"/>
      <c r="O168" s="234"/>
    </row>
    <row r="169" spans="2:15">
      <c r="B169" s="233" t="str">
        <f t="shared" si="24"/>
        <v/>
      </c>
      <c r="C169" s="243" t="str">
        <f t="shared" si="25"/>
        <v/>
      </c>
      <c r="D169" s="234" t="str">
        <f t="shared" si="26"/>
        <v/>
      </c>
      <c r="E169" s="234" t="str">
        <f t="shared" si="18"/>
        <v/>
      </c>
      <c r="F169" s="234" t="str">
        <f t="shared" si="19"/>
        <v/>
      </c>
      <c r="G169" s="234" t="str">
        <f t="shared" si="20"/>
        <v/>
      </c>
      <c r="H169" s="234" t="str">
        <f t="shared" si="21"/>
        <v/>
      </c>
      <c r="I169" s="234" t="str">
        <f t="shared" si="22"/>
        <v/>
      </c>
      <c r="J169" s="234" t="str">
        <f t="shared" si="23"/>
        <v/>
      </c>
      <c r="K169" s="234"/>
      <c r="L169" s="234"/>
      <c r="M169" s="234"/>
      <c r="N169" s="234"/>
      <c r="O169" s="234"/>
    </row>
    <row r="170" spans="2:15">
      <c r="B170" s="233" t="str">
        <f t="shared" si="24"/>
        <v/>
      </c>
      <c r="C170" s="243" t="str">
        <f t="shared" si="25"/>
        <v/>
      </c>
      <c r="D170" s="234" t="str">
        <f t="shared" si="26"/>
        <v/>
      </c>
      <c r="E170" s="234" t="str">
        <f t="shared" si="18"/>
        <v/>
      </c>
      <c r="F170" s="234" t="str">
        <f t="shared" si="19"/>
        <v/>
      </c>
      <c r="G170" s="234" t="str">
        <f t="shared" si="20"/>
        <v/>
      </c>
      <c r="H170" s="234" t="str">
        <f t="shared" si="21"/>
        <v/>
      </c>
      <c r="I170" s="234" t="str">
        <f t="shared" si="22"/>
        <v/>
      </c>
      <c r="J170" s="234" t="str">
        <f t="shared" si="23"/>
        <v/>
      </c>
      <c r="K170" s="234"/>
      <c r="L170" s="234"/>
      <c r="M170" s="234"/>
      <c r="N170" s="234"/>
      <c r="O170" s="234"/>
    </row>
    <row r="171" spans="2:15">
      <c r="B171" s="233" t="str">
        <f t="shared" si="24"/>
        <v/>
      </c>
      <c r="C171" s="243" t="str">
        <f t="shared" si="25"/>
        <v/>
      </c>
      <c r="D171" s="234" t="str">
        <f t="shared" si="26"/>
        <v/>
      </c>
      <c r="E171" s="234" t="str">
        <f t="shared" si="18"/>
        <v/>
      </c>
      <c r="F171" s="234" t="str">
        <f t="shared" si="19"/>
        <v/>
      </c>
      <c r="G171" s="234" t="str">
        <f t="shared" si="20"/>
        <v/>
      </c>
      <c r="H171" s="234" t="str">
        <f t="shared" si="21"/>
        <v/>
      </c>
      <c r="I171" s="234" t="str">
        <f t="shared" si="22"/>
        <v/>
      </c>
      <c r="J171" s="234" t="str">
        <f t="shared" si="23"/>
        <v/>
      </c>
      <c r="K171" s="234"/>
      <c r="L171" s="234"/>
      <c r="M171" s="234"/>
      <c r="N171" s="234"/>
      <c r="O171" s="234"/>
    </row>
    <row r="172" spans="2:15">
      <c r="B172" s="233" t="str">
        <f t="shared" si="24"/>
        <v/>
      </c>
      <c r="C172" s="243" t="str">
        <f t="shared" si="25"/>
        <v/>
      </c>
      <c r="D172" s="234" t="str">
        <f t="shared" si="26"/>
        <v/>
      </c>
      <c r="E172" s="234" t="str">
        <f t="shared" si="18"/>
        <v/>
      </c>
      <c r="F172" s="234" t="str">
        <f t="shared" si="19"/>
        <v/>
      </c>
      <c r="G172" s="234" t="str">
        <f t="shared" si="20"/>
        <v/>
      </c>
      <c r="H172" s="234" t="str">
        <f t="shared" si="21"/>
        <v/>
      </c>
      <c r="I172" s="234" t="str">
        <f t="shared" si="22"/>
        <v/>
      </c>
      <c r="J172" s="234" t="str">
        <f t="shared" si="23"/>
        <v/>
      </c>
      <c r="K172" s="234"/>
      <c r="L172" s="234"/>
      <c r="M172" s="234"/>
      <c r="N172" s="234"/>
      <c r="O172" s="234"/>
    </row>
    <row r="173" spans="2:15">
      <c r="B173" s="233" t="str">
        <f t="shared" si="24"/>
        <v/>
      </c>
      <c r="C173" s="243" t="str">
        <f t="shared" si="25"/>
        <v/>
      </c>
      <c r="D173" s="234" t="str">
        <f t="shared" si="26"/>
        <v/>
      </c>
      <c r="E173" s="234" t="str">
        <f t="shared" si="18"/>
        <v/>
      </c>
      <c r="F173" s="234" t="str">
        <f t="shared" si="19"/>
        <v/>
      </c>
      <c r="G173" s="234" t="str">
        <f t="shared" si="20"/>
        <v/>
      </c>
      <c r="H173" s="234" t="str">
        <f t="shared" si="21"/>
        <v/>
      </c>
      <c r="I173" s="234" t="str">
        <f t="shared" si="22"/>
        <v/>
      </c>
      <c r="J173" s="234" t="str">
        <f t="shared" si="23"/>
        <v/>
      </c>
      <c r="K173" s="234"/>
      <c r="L173" s="234"/>
      <c r="M173" s="234"/>
      <c r="N173" s="234"/>
      <c r="O173" s="234"/>
    </row>
    <row r="174" spans="2:15">
      <c r="B174" s="233" t="str">
        <f t="shared" si="24"/>
        <v/>
      </c>
      <c r="C174" s="243" t="str">
        <f t="shared" si="25"/>
        <v/>
      </c>
      <c r="D174" s="234" t="str">
        <f t="shared" si="26"/>
        <v/>
      </c>
      <c r="E174" s="234" t="str">
        <f t="shared" si="18"/>
        <v/>
      </c>
      <c r="F174" s="234" t="str">
        <f t="shared" si="19"/>
        <v/>
      </c>
      <c r="G174" s="234" t="str">
        <f t="shared" si="20"/>
        <v/>
      </c>
      <c r="H174" s="234" t="str">
        <f t="shared" si="21"/>
        <v/>
      </c>
      <c r="I174" s="234" t="str">
        <f t="shared" si="22"/>
        <v/>
      </c>
      <c r="J174" s="234" t="str">
        <f t="shared" si="23"/>
        <v/>
      </c>
      <c r="K174" s="234"/>
      <c r="L174" s="234"/>
      <c r="M174" s="234"/>
      <c r="N174" s="234"/>
      <c r="O174" s="234"/>
    </row>
    <row r="175" spans="2:15">
      <c r="B175" s="233" t="str">
        <f t="shared" si="24"/>
        <v/>
      </c>
      <c r="C175" s="243" t="str">
        <f t="shared" si="25"/>
        <v/>
      </c>
      <c r="D175" s="234" t="str">
        <f t="shared" si="26"/>
        <v/>
      </c>
      <c r="E175" s="234" t="str">
        <f t="shared" si="18"/>
        <v/>
      </c>
      <c r="F175" s="234" t="str">
        <f t="shared" si="19"/>
        <v/>
      </c>
      <c r="G175" s="234" t="str">
        <f t="shared" si="20"/>
        <v/>
      </c>
      <c r="H175" s="234" t="str">
        <f t="shared" si="21"/>
        <v/>
      </c>
      <c r="I175" s="234" t="str">
        <f t="shared" si="22"/>
        <v/>
      </c>
      <c r="J175" s="234" t="str">
        <f t="shared" si="23"/>
        <v/>
      </c>
      <c r="K175" s="234"/>
      <c r="L175" s="234"/>
      <c r="M175" s="234"/>
      <c r="N175" s="234"/>
      <c r="O175" s="234"/>
    </row>
    <row r="176" spans="2:15">
      <c r="B176" s="233" t="str">
        <f t="shared" si="24"/>
        <v/>
      </c>
      <c r="C176" s="243" t="str">
        <f t="shared" si="25"/>
        <v/>
      </c>
      <c r="D176" s="234" t="str">
        <f t="shared" si="26"/>
        <v/>
      </c>
      <c r="E176" s="234" t="str">
        <f t="shared" si="18"/>
        <v/>
      </c>
      <c r="F176" s="234" t="str">
        <f t="shared" si="19"/>
        <v/>
      </c>
      <c r="G176" s="234" t="str">
        <f t="shared" si="20"/>
        <v/>
      </c>
      <c r="H176" s="234" t="str">
        <f t="shared" si="21"/>
        <v/>
      </c>
      <c r="I176" s="234" t="str">
        <f t="shared" si="22"/>
        <v/>
      </c>
      <c r="J176" s="234" t="str">
        <f t="shared" si="23"/>
        <v/>
      </c>
      <c r="K176" s="234"/>
      <c r="L176" s="234"/>
      <c r="M176" s="234"/>
      <c r="N176" s="234"/>
      <c r="O176" s="234"/>
    </row>
    <row r="177" spans="2:15">
      <c r="B177" s="233" t="str">
        <f t="shared" si="24"/>
        <v/>
      </c>
      <c r="C177" s="243" t="str">
        <f t="shared" si="25"/>
        <v/>
      </c>
      <c r="D177" s="234" t="str">
        <f t="shared" si="26"/>
        <v/>
      </c>
      <c r="E177" s="234" t="str">
        <f t="shared" si="18"/>
        <v/>
      </c>
      <c r="F177" s="234" t="str">
        <f t="shared" si="19"/>
        <v/>
      </c>
      <c r="G177" s="234" t="str">
        <f t="shared" si="20"/>
        <v/>
      </c>
      <c r="H177" s="234" t="str">
        <f t="shared" si="21"/>
        <v/>
      </c>
      <c r="I177" s="234" t="str">
        <f t="shared" si="22"/>
        <v/>
      </c>
      <c r="J177" s="234" t="str">
        <f t="shared" si="23"/>
        <v/>
      </c>
      <c r="K177" s="234"/>
      <c r="L177" s="234"/>
      <c r="M177" s="234"/>
      <c r="N177" s="234"/>
      <c r="O177" s="234"/>
    </row>
    <row r="178" spans="2:15">
      <c r="B178" s="233" t="str">
        <f t="shared" si="24"/>
        <v/>
      </c>
      <c r="C178" s="243" t="str">
        <f t="shared" si="25"/>
        <v/>
      </c>
      <c r="D178" s="234" t="str">
        <f t="shared" si="26"/>
        <v/>
      </c>
      <c r="E178" s="234" t="str">
        <f t="shared" si="18"/>
        <v/>
      </c>
      <c r="F178" s="234" t="str">
        <f t="shared" si="19"/>
        <v/>
      </c>
      <c r="G178" s="234" t="str">
        <f t="shared" si="20"/>
        <v/>
      </c>
      <c r="H178" s="234" t="str">
        <f t="shared" si="21"/>
        <v/>
      </c>
      <c r="I178" s="234" t="str">
        <f t="shared" si="22"/>
        <v/>
      </c>
      <c r="J178" s="234" t="str">
        <f t="shared" si="23"/>
        <v/>
      </c>
      <c r="K178" s="234"/>
      <c r="L178" s="234"/>
      <c r="M178" s="234"/>
      <c r="N178" s="234"/>
      <c r="O178" s="234"/>
    </row>
    <row r="179" spans="2:15">
      <c r="B179" s="233" t="str">
        <f t="shared" si="24"/>
        <v/>
      </c>
      <c r="C179" s="243" t="str">
        <f t="shared" si="25"/>
        <v/>
      </c>
      <c r="D179" s="234" t="str">
        <f t="shared" si="26"/>
        <v/>
      </c>
      <c r="E179" s="234" t="str">
        <f t="shared" si="18"/>
        <v/>
      </c>
      <c r="F179" s="234" t="str">
        <f t="shared" si="19"/>
        <v/>
      </c>
      <c r="G179" s="234" t="str">
        <f t="shared" si="20"/>
        <v/>
      </c>
      <c r="H179" s="234" t="str">
        <f t="shared" si="21"/>
        <v/>
      </c>
      <c r="I179" s="234" t="str">
        <f t="shared" si="22"/>
        <v/>
      </c>
      <c r="J179" s="234" t="str">
        <f t="shared" si="23"/>
        <v/>
      </c>
      <c r="K179" s="234"/>
      <c r="L179" s="234"/>
      <c r="M179" s="234"/>
      <c r="N179" s="234"/>
      <c r="O179" s="234"/>
    </row>
    <row r="180" spans="2:15">
      <c r="B180" s="233" t="str">
        <f t="shared" si="24"/>
        <v/>
      </c>
      <c r="C180" s="243" t="str">
        <f t="shared" si="25"/>
        <v/>
      </c>
      <c r="D180" s="234" t="str">
        <f t="shared" si="26"/>
        <v/>
      </c>
      <c r="E180" s="234" t="str">
        <f t="shared" si="18"/>
        <v/>
      </c>
      <c r="F180" s="234" t="str">
        <f t="shared" si="19"/>
        <v/>
      </c>
      <c r="G180" s="234" t="str">
        <f t="shared" si="20"/>
        <v/>
      </c>
      <c r="H180" s="234" t="str">
        <f t="shared" si="21"/>
        <v/>
      </c>
      <c r="I180" s="234" t="str">
        <f t="shared" si="22"/>
        <v/>
      </c>
      <c r="J180" s="234" t="str">
        <f t="shared" si="23"/>
        <v/>
      </c>
      <c r="K180" s="234"/>
      <c r="L180" s="234"/>
      <c r="M180" s="234"/>
      <c r="N180" s="234"/>
      <c r="O180" s="234"/>
    </row>
    <row r="181" spans="2:15">
      <c r="B181" s="233" t="str">
        <f t="shared" si="24"/>
        <v/>
      </c>
      <c r="C181" s="243" t="str">
        <f t="shared" si="25"/>
        <v/>
      </c>
      <c r="D181" s="234" t="str">
        <f t="shared" si="26"/>
        <v/>
      </c>
      <c r="E181" s="234" t="str">
        <f t="shared" si="18"/>
        <v/>
      </c>
      <c r="F181" s="234" t="str">
        <f t="shared" si="19"/>
        <v/>
      </c>
      <c r="G181" s="234" t="str">
        <f t="shared" si="20"/>
        <v/>
      </c>
      <c r="H181" s="234" t="str">
        <f t="shared" si="21"/>
        <v/>
      </c>
      <c r="I181" s="234" t="str">
        <f t="shared" si="22"/>
        <v/>
      </c>
      <c r="J181" s="234" t="str">
        <f t="shared" si="23"/>
        <v/>
      </c>
      <c r="K181" s="234"/>
      <c r="L181" s="234"/>
      <c r="M181" s="234"/>
      <c r="N181" s="234"/>
      <c r="O181" s="234"/>
    </row>
    <row r="182" spans="2:15">
      <c r="B182" s="233" t="str">
        <f t="shared" si="24"/>
        <v/>
      </c>
      <c r="C182" s="243" t="str">
        <f t="shared" si="25"/>
        <v/>
      </c>
      <c r="D182" s="234" t="str">
        <f t="shared" si="26"/>
        <v/>
      </c>
      <c r="E182" s="234" t="str">
        <f t="shared" si="18"/>
        <v/>
      </c>
      <c r="F182" s="234" t="str">
        <f t="shared" si="19"/>
        <v/>
      </c>
      <c r="G182" s="234" t="str">
        <f t="shared" si="20"/>
        <v/>
      </c>
      <c r="H182" s="234" t="str">
        <f t="shared" si="21"/>
        <v/>
      </c>
      <c r="I182" s="234" t="str">
        <f t="shared" si="22"/>
        <v/>
      </c>
      <c r="J182" s="234" t="str">
        <f t="shared" si="23"/>
        <v/>
      </c>
      <c r="K182" s="234"/>
      <c r="L182" s="234"/>
      <c r="M182" s="234"/>
      <c r="N182" s="234"/>
      <c r="O182" s="234"/>
    </row>
    <row r="183" spans="2:15">
      <c r="B183" s="233" t="str">
        <f t="shared" si="24"/>
        <v/>
      </c>
      <c r="C183" s="243" t="str">
        <f t="shared" si="25"/>
        <v/>
      </c>
      <c r="D183" s="234" t="str">
        <f t="shared" si="26"/>
        <v/>
      </c>
      <c r="E183" s="234" t="str">
        <f t="shared" si="18"/>
        <v/>
      </c>
      <c r="F183" s="234" t="str">
        <f t="shared" si="19"/>
        <v/>
      </c>
      <c r="G183" s="234" t="str">
        <f t="shared" si="20"/>
        <v/>
      </c>
      <c r="H183" s="234" t="str">
        <f t="shared" si="21"/>
        <v/>
      </c>
      <c r="I183" s="234" t="str">
        <f t="shared" si="22"/>
        <v/>
      </c>
      <c r="J183" s="234" t="str">
        <f t="shared" si="23"/>
        <v/>
      </c>
      <c r="K183" s="234"/>
      <c r="L183" s="234"/>
      <c r="M183" s="234"/>
      <c r="N183" s="234"/>
      <c r="O183" s="234"/>
    </row>
    <row r="184" spans="2:15">
      <c r="B184" s="233" t="str">
        <f t="shared" si="24"/>
        <v/>
      </c>
      <c r="C184" s="243" t="str">
        <f t="shared" si="25"/>
        <v/>
      </c>
      <c r="D184" s="234" t="str">
        <f t="shared" si="26"/>
        <v/>
      </c>
      <c r="E184" s="234" t="str">
        <f t="shared" si="18"/>
        <v/>
      </c>
      <c r="F184" s="234" t="str">
        <f t="shared" si="19"/>
        <v/>
      </c>
      <c r="G184" s="234" t="str">
        <f t="shared" si="20"/>
        <v/>
      </c>
      <c r="H184" s="234" t="str">
        <f t="shared" si="21"/>
        <v/>
      </c>
      <c r="I184" s="234" t="str">
        <f t="shared" si="22"/>
        <v/>
      </c>
      <c r="J184" s="234" t="str">
        <f t="shared" si="23"/>
        <v/>
      </c>
      <c r="K184" s="234"/>
      <c r="L184" s="234"/>
      <c r="M184" s="234"/>
      <c r="N184" s="234"/>
      <c r="O184" s="234"/>
    </row>
    <row r="185" spans="2:15">
      <c r="B185" s="233" t="str">
        <f t="shared" si="24"/>
        <v/>
      </c>
      <c r="C185" s="243" t="str">
        <f t="shared" si="25"/>
        <v/>
      </c>
      <c r="D185" s="234" t="str">
        <f t="shared" si="26"/>
        <v/>
      </c>
      <c r="E185" s="234" t="str">
        <f t="shared" si="18"/>
        <v/>
      </c>
      <c r="F185" s="234" t="str">
        <f t="shared" si="19"/>
        <v/>
      </c>
      <c r="G185" s="234" t="str">
        <f t="shared" si="20"/>
        <v/>
      </c>
      <c r="H185" s="234" t="str">
        <f t="shared" si="21"/>
        <v/>
      </c>
      <c r="I185" s="234" t="str">
        <f t="shared" si="22"/>
        <v/>
      </c>
      <c r="J185" s="234" t="str">
        <f t="shared" si="23"/>
        <v/>
      </c>
      <c r="K185" s="234"/>
      <c r="L185" s="234"/>
      <c r="M185" s="234"/>
      <c r="N185" s="234"/>
      <c r="O185" s="234"/>
    </row>
    <row r="186" spans="2:15">
      <c r="B186" s="233" t="str">
        <f t="shared" si="24"/>
        <v/>
      </c>
      <c r="C186" s="243" t="str">
        <f t="shared" si="25"/>
        <v/>
      </c>
      <c r="D186" s="234" t="str">
        <f t="shared" si="26"/>
        <v/>
      </c>
      <c r="E186" s="234" t="str">
        <f t="shared" si="18"/>
        <v/>
      </c>
      <c r="F186" s="234" t="str">
        <f t="shared" si="19"/>
        <v/>
      </c>
      <c r="G186" s="234" t="str">
        <f t="shared" si="20"/>
        <v/>
      </c>
      <c r="H186" s="234" t="str">
        <f t="shared" si="21"/>
        <v/>
      </c>
      <c r="I186" s="234" t="str">
        <f t="shared" si="22"/>
        <v/>
      </c>
      <c r="J186" s="234" t="str">
        <f t="shared" si="23"/>
        <v/>
      </c>
      <c r="K186" s="234"/>
      <c r="L186" s="234"/>
      <c r="M186" s="234"/>
      <c r="N186" s="234"/>
      <c r="O186" s="234"/>
    </row>
    <row r="187" spans="2:15">
      <c r="B187" s="233" t="str">
        <f t="shared" si="24"/>
        <v/>
      </c>
      <c r="C187" s="243" t="str">
        <f t="shared" si="25"/>
        <v/>
      </c>
      <c r="D187" s="234" t="str">
        <f t="shared" si="26"/>
        <v/>
      </c>
      <c r="E187" s="234" t="str">
        <f t="shared" si="18"/>
        <v/>
      </c>
      <c r="F187" s="234" t="str">
        <f t="shared" si="19"/>
        <v/>
      </c>
      <c r="G187" s="234" t="str">
        <f t="shared" si="20"/>
        <v/>
      </c>
      <c r="H187" s="234" t="str">
        <f t="shared" si="21"/>
        <v/>
      </c>
      <c r="I187" s="234" t="str">
        <f t="shared" si="22"/>
        <v/>
      </c>
      <c r="J187" s="234" t="str">
        <f t="shared" si="23"/>
        <v/>
      </c>
      <c r="K187" s="234"/>
      <c r="L187" s="234"/>
      <c r="M187" s="234"/>
      <c r="N187" s="234"/>
      <c r="O187" s="234"/>
    </row>
    <row r="188" spans="2:15">
      <c r="B188" s="233" t="str">
        <f t="shared" si="24"/>
        <v/>
      </c>
      <c r="C188" s="243" t="str">
        <f t="shared" si="25"/>
        <v/>
      </c>
      <c r="D188" s="234" t="str">
        <f t="shared" si="26"/>
        <v/>
      </c>
      <c r="E188" s="234" t="str">
        <f t="shared" si="18"/>
        <v/>
      </c>
      <c r="F188" s="234" t="str">
        <f t="shared" si="19"/>
        <v/>
      </c>
      <c r="G188" s="234" t="str">
        <f t="shared" si="20"/>
        <v/>
      </c>
      <c r="H188" s="234" t="str">
        <f t="shared" si="21"/>
        <v/>
      </c>
      <c r="I188" s="234" t="str">
        <f t="shared" si="22"/>
        <v/>
      </c>
      <c r="J188" s="234" t="str">
        <f t="shared" si="23"/>
        <v/>
      </c>
      <c r="K188" s="234"/>
      <c r="L188" s="234"/>
      <c r="M188" s="234"/>
      <c r="N188" s="234"/>
      <c r="O188" s="234"/>
    </row>
    <row r="189" spans="2:15">
      <c r="B189" s="233" t="str">
        <f t="shared" si="24"/>
        <v/>
      </c>
      <c r="C189" s="243" t="str">
        <f t="shared" si="25"/>
        <v/>
      </c>
      <c r="D189" s="234" t="str">
        <f t="shared" si="26"/>
        <v/>
      </c>
      <c r="E189" s="234" t="str">
        <f t="shared" si="18"/>
        <v/>
      </c>
      <c r="F189" s="234" t="str">
        <f t="shared" si="19"/>
        <v/>
      </c>
      <c r="G189" s="234" t="str">
        <f t="shared" si="20"/>
        <v/>
      </c>
      <c r="H189" s="234" t="str">
        <f t="shared" si="21"/>
        <v/>
      </c>
      <c r="I189" s="234" t="str">
        <f t="shared" si="22"/>
        <v/>
      </c>
      <c r="J189" s="234" t="str">
        <f t="shared" si="23"/>
        <v/>
      </c>
      <c r="K189" s="234"/>
      <c r="L189" s="234"/>
      <c r="M189" s="234"/>
      <c r="N189" s="234"/>
      <c r="O189" s="234"/>
    </row>
    <row r="190" spans="2:15">
      <c r="B190" s="233" t="str">
        <f t="shared" si="24"/>
        <v/>
      </c>
      <c r="C190" s="243" t="str">
        <f t="shared" si="25"/>
        <v/>
      </c>
      <c r="D190" s="234" t="str">
        <f t="shared" si="26"/>
        <v/>
      </c>
      <c r="E190" s="234" t="str">
        <f t="shared" si="18"/>
        <v/>
      </c>
      <c r="F190" s="234" t="str">
        <f t="shared" si="19"/>
        <v/>
      </c>
      <c r="G190" s="234" t="str">
        <f t="shared" si="20"/>
        <v/>
      </c>
      <c r="H190" s="234" t="str">
        <f t="shared" si="21"/>
        <v/>
      </c>
      <c r="I190" s="234" t="str">
        <f t="shared" si="22"/>
        <v/>
      </c>
      <c r="J190" s="234" t="str">
        <f t="shared" si="23"/>
        <v/>
      </c>
      <c r="K190" s="234"/>
      <c r="L190" s="234"/>
      <c r="M190" s="234"/>
      <c r="N190" s="234"/>
      <c r="O190" s="234"/>
    </row>
    <row r="191" spans="2:15">
      <c r="B191" s="233" t="str">
        <f t="shared" si="24"/>
        <v/>
      </c>
      <c r="C191" s="243" t="str">
        <f t="shared" si="25"/>
        <v/>
      </c>
      <c r="D191" s="234" t="str">
        <f t="shared" si="26"/>
        <v/>
      </c>
      <c r="E191" s="234" t="str">
        <f t="shared" si="18"/>
        <v/>
      </c>
      <c r="F191" s="234" t="str">
        <f t="shared" si="19"/>
        <v/>
      </c>
      <c r="G191" s="234" t="str">
        <f t="shared" si="20"/>
        <v/>
      </c>
      <c r="H191" s="234" t="str">
        <f t="shared" si="21"/>
        <v/>
      </c>
      <c r="I191" s="234" t="str">
        <f t="shared" si="22"/>
        <v/>
      </c>
      <c r="J191" s="234" t="str">
        <f t="shared" si="23"/>
        <v/>
      </c>
      <c r="K191" s="234"/>
      <c r="L191" s="234"/>
      <c r="M191" s="234"/>
      <c r="N191" s="234"/>
      <c r="O191" s="234"/>
    </row>
    <row r="192" spans="2:15">
      <c r="B192" s="233" t="str">
        <f t="shared" si="24"/>
        <v/>
      </c>
      <c r="C192" s="243" t="str">
        <f t="shared" si="25"/>
        <v/>
      </c>
      <c r="D192" s="234" t="str">
        <f t="shared" si="26"/>
        <v/>
      </c>
      <c r="E192" s="234" t="str">
        <f t="shared" si="18"/>
        <v/>
      </c>
      <c r="F192" s="234" t="str">
        <f t="shared" si="19"/>
        <v/>
      </c>
      <c r="G192" s="234" t="str">
        <f t="shared" si="20"/>
        <v/>
      </c>
      <c r="H192" s="234" t="str">
        <f t="shared" si="21"/>
        <v/>
      </c>
      <c r="I192" s="234" t="str">
        <f t="shared" si="22"/>
        <v/>
      </c>
      <c r="J192" s="234" t="str">
        <f t="shared" si="23"/>
        <v/>
      </c>
      <c r="K192" s="234"/>
      <c r="L192" s="234"/>
      <c r="M192" s="234"/>
      <c r="N192" s="234"/>
      <c r="O192" s="234"/>
    </row>
    <row r="193" spans="2:15">
      <c r="B193" s="233" t="str">
        <f t="shared" si="24"/>
        <v/>
      </c>
      <c r="C193" s="243" t="str">
        <f t="shared" si="25"/>
        <v/>
      </c>
      <c r="D193" s="234" t="str">
        <f t="shared" si="26"/>
        <v/>
      </c>
      <c r="E193" s="234" t="str">
        <f t="shared" si="18"/>
        <v/>
      </c>
      <c r="F193" s="234" t="str">
        <f t="shared" si="19"/>
        <v/>
      </c>
      <c r="G193" s="234" t="str">
        <f t="shared" si="20"/>
        <v/>
      </c>
      <c r="H193" s="234" t="str">
        <f t="shared" si="21"/>
        <v/>
      </c>
      <c r="I193" s="234" t="str">
        <f t="shared" si="22"/>
        <v/>
      </c>
      <c r="J193" s="234" t="str">
        <f t="shared" si="23"/>
        <v/>
      </c>
      <c r="K193" s="234"/>
      <c r="L193" s="234"/>
      <c r="M193" s="234"/>
      <c r="N193" s="234"/>
      <c r="O193" s="234"/>
    </row>
    <row r="194" spans="2:15">
      <c r="B194" s="233" t="str">
        <f t="shared" si="24"/>
        <v/>
      </c>
      <c r="C194" s="243" t="str">
        <f t="shared" si="25"/>
        <v/>
      </c>
      <c r="D194" s="234" t="str">
        <f t="shared" si="26"/>
        <v/>
      </c>
      <c r="E194" s="234" t="str">
        <f t="shared" si="18"/>
        <v/>
      </c>
      <c r="F194" s="234" t="str">
        <f t="shared" si="19"/>
        <v/>
      </c>
      <c r="G194" s="234" t="str">
        <f t="shared" si="20"/>
        <v/>
      </c>
      <c r="H194" s="234" t="str">
        <f t="shared" si="21"/>
        <v/>
      </c>
      <c r="I194" s="234" t="str">
        <f t="shared" si="22"/>
        <v/>
      </c>
      <c r="J194" s="234" t="str">
        <f t="shared" si="23"/>
        <v/>
      </c>
      <c r="K194" s="234"/>
      <c r="L194" s="234"/>
      <c r="M194" s="234"/>
      <c r="N194" s="234"/>
      <c r="O194" s="234"/>
    </row>
    <row r="195" spans="2:15">
      <c r="B195" s="233" t="str">
        <f t="shared" si="24"/>
        <v/>
      </c>
      <c r="C195" s="243" t="str">
        <f t="shared" si="25"/>
        <v/>
      </c>
      <c r="D195" s="234" t="str">
        <f t="shared" si="26"/>
        <v/>
      </c>
      <c r="E195" s="234" t="str">
        <f t="shared" si="18"/>
        <v/>
      </c>
      <c r="F195" s="234" t="str">
        <f t="shared" si="19"/>
        <v/>
      </c>
      <c r="G195" s="234" t="str">
        <f t="shared" si="20"/>
        <v/>
      </c>
      <c r="H195" s="234" t="str">
        <f t="shared" si="21"/>
        <v/>
      </c>
      <c r="I195" s="234" t="str">
        <f t="shared" si="22"/>
        <v/>
      </c>
      <c r="J195" s="234" t="str">
        <f t="shared" si="23"/>
        <v/>
      </c>
      <c r="K195" s="234"/>
      <c r="L195" s="234"/>
      <c r="M195" s="234"/>
      <c r="N195" s="234"/>
      <c r="O195" s="234"/>
    </row>
    <row r="196" spans="2:15">
      <c r="B196" s="233" t="str">
        <f t="shared" si="24"/>
        <v/>
      </c>
      <c r="C196" s="243" t="str">
        <f t="shared" si="25"/>
        <v/>
      </c>
      <c r="D196" s="234" t="str">
        <f t="shared" si="26"/>
        <v/>
      </c>
      <c r="E196" s="234" t="str">
        <f t="shared" si="18"/>
        <v/>
      </c>
      <c r="F196" s="234" t="str">
        <f t="shared" si="19"/>
        <v/>
      </c>
      <c r="G196" s="234" t="str">
        <f t="shared" si="20"/>
        <v/>
      </c>
      <c r="H196" s="234" t="str">
        <f t="shared" si="21"/>
        <v/>
      </c>
      <c r="I196" s="234" t="str">
        <f t="shared" si="22"/>
        <v/>
      </c>
      <c r="J196" s="234" t="str">
        <f t="shared" si="23"/>
        <v/>
      </c>
      <c r="K196" s="234"/>
      <c r="L196" s="234"/>
      <c r="M196" s="234"/>
      <c r="N196" s="234"/>
      <c r="O196" s="234"/>
    </row>
    <row r="197" spans="2:15">
      <c r="B197" s="233" t="str">
        <f t="shared" si="24"/>
        <v/>
      </c>
      <c r="C197" s="243" t="str">
        <f t="shared" si="25"/>
        <v/>
      </c>
      <c r="D197" s="234" t="str">
        <f t="shared" si="26"/>
        <v/>
      </c>
      <c r="E197" s="234" t="str">
        <f t="shared" si="18"/>
        <v/>
      </c>
      <c r="F197" s="234" t="str">
        <f t="shared" si="19"/>
        <v/>
      </c>
      <c r="G197" s="234" t="str">
        <f t="shared" si="20"/>
        <v/>
      </c>
      <c r="H197" s="234" t="str">
        <f t="shared" si="21"/>
        <v/>
      </c>
      <c r="I197" s="234" t="str">
        <f t="shared" si="22"/>
        <v/>
      </c>
      <c r="J197" s="234" t="str">
        <f t="shared" si="23"/>
        <v/>
      </c>
      <c r="K197" s="234"/>
      <c r="L197" s="234"/>
      <c r="M197" s="234"/>
      <c r="N197" s="234"/>
      <c r="O197" s="234"/>
    </row>
    <row r="198" spans="2:15">
      <c r="B198" s="233" t="str">
        <f t="shared" si="24"/>
        <v/>
      </c>
      <c r="C198" s="243" t="str">
        <f t="shared" si="25"/>
        <v/>
      </c>
      <c r="D198" s="234" t="str">
        <f t="shared" si="26"/>
        <v/>
      </c>
      <c r="E198" s="234" t="str">
        <f t="shared" si="18"/>
        <v/>
      </c>
      <c r="F198" s="234" t="str">
        <f t="shared" si="19"/>
        <v/>
      </c>
      <c r="G198" s="234" t="str">
        <f t="shared" si="20"/>
        <v/>
      </c>
      <c r="H198" s="234" t="str">
        <f t="shared" si="21"/>
        <v/>
      </c>
      <c r="I198" s="234" t="str">
        <f t="shared" si="22"/>
        <v/>
      </c>
      <c r="J198" s="234" t="str">
        <f t="shared" si="23"/>
        <v/>
      </c>
      <c r="K198" s="234"/>
      <c r="L198" s="234"/>
      <c r="M198" s="234"/>
      <c r="N198" s="234"/>
      <c r="O198" s="234"/>
    </row>
    <row r="199" spans="2:15">
      <c r="B199" s="233" t="str">
        <f t="shared" si="24"/>
        <v/>
      </c>
      <c r="C199" s="243" t="str">
        <f t="shared" si="25"/>
        <v/>
      </c>
      <c r="D199" s="234" t="str">
        <f t="shared" si="26"/>
        <v/>
      </c>
      <c r="E199" s="234" t="str">
        <f t="shared" si="18"/>
        <v/>
      </c>
      <c r="F199" s="234" t="str">
        <f t="shared" si="19"/>
        <v/>
      </c>
      <c r="G199" s="234" t="str">
        <f t="shared" si="20"/>
        <v/>
      </c>
      <c r="H199" s="234" t="str">
        <f t="shared" si="21"/>
        <v/>
      </c>
      <c r="I199" s="234" t="str">
        <f t="shared" si="22"/>
        <v/>
      </c>
      <c r="J199" s="234" t="str">
        <f t="shared" si="23"/>
        <v/>
      </c>
      <c r="K199" s="234"/>
      <c r="L199" s="234"/>
      <c r="M199" s="234"/>
      <c r="N199" s="234"/>
      <c r="O199" s="234"/>
    </row>
    <row r="200" spans="2:15">
      <c r="B200" s="233" t="str">
        <f t="shared" si="24"/>
        <v/>
      </c>
      <c r="C200" s="243" t="str">
        <f t="shared" si="25"/>
        <v/>
      </c>
      <c r="D200" s="234" t="str">
        <f t="shared" si="26"/>
        <v/>
      </c>
      <c r="E200" s="234" t="str">
        <f t="shared" si="18"/>
        <v/>
      </c>
      <c r="F200" s="234" t="str">
        <f t="shared" si="19"/>
        <v/>
      </c>
      <c r="G200" s="234" t="str">
        <f t="shared" si="20"/>
        <v/>
      </c>
      <c r="H200" s="234" t="str">
        <f t="shared" si="21"/>
        <v/>
      </c>
      <c r="I200" s="234" t="str">
        <f t="shared" si="22"/>
        <v/>
      </c>
      <c r="J200" s="234" t="str">
        <f t="shared" si="23"/>
        <v/>
      </c>
      <c r="K200" s="234"/>
      <c r="L200" s="234"/>
      <c r="M200" s="234"/>
      <c r="N200" s="234"/>
      <c r="O200" s="234"/>
    </row>
    <row r="201" spans="2:15">
      <c r="B201" s="233" t="str">
        <f t="shared" si="24"/>
        <v/>
      </c>
      <c r="C201" s="243" t="str">
        <f t="shared" si="25"/>
        <v/>
      </c>
      <c r="D201" s="234" t="str">
        <f t="shared" si="26"/>
        <v/>
      </c>
      <c r="E201" s="234" t="str">
        <f t="shared" si="18"/>
        <v/>
      </c>
      <c r="F201" s="234" t="str">
        <f t="shared" si="19"/>
        <v/>
      </c>
      <c r="G201" s="234" t="str">
        <f t="shared" si="20"/>
        <v/>
      </c>
      <c r="H201" s="234" t="str">
        <f t="shared" si="21"/>
        <v/>
      </c>
      <c r="I201" s="234" t="str">
        <f t="shared" si="22"/>
        <v/>
      </c>
      <c r="J201" s="234" t="str">
        <f t="shared" si="23"/>
        <v/>
      </c>
      <c r="K201" s="234"/>
      <c r="L201" s="234"/>
      <c r="M201" s="234"/>
      <c r="N201" s="234"/>
      <c r="O201" s="234"/>
    </row>
    <row r="202" spans="2:15">
      <c r="B202" s="233" t="str">
        <f t="shared" si="24"/>
        <v/>
      </c>
      <c r="C202" s="243" t="str">
        <f t="shared" si="25"/>
        <v/>
      </c>
      <c r="D202" s="234" t="str">
        <f t="shared" si="26"/>
        <v/>
      </c>
      <c r="E202" s="234" t="str">
        <f t="shared" si="18"/>
        <v/>
      </c>
      <c r="F202" s="234" t="str">
        <f t="shared" si="19"/>
        <v/>
      </c>
      <c r="G202" s="234" t="str">
        <f t="shared" si="20"/>
        <v/>
      </c>
      <c r="H202" s="234" t="str">
        <f t="shared" si="21"/>
        <v/>
      </c>
      <c r="I202" s="234" t="str">
        <f t="shared" si="22"/>
        <v/>
      </c>
      <c r="J202" s="234" t="str">
        <f t="shared" si="23"/>
        <v/>
      </c>
      <c r="K202" s="234"/>
      <c r="L202" s="234"/>
      <c r="M202" s="234"/>
      <c r="N202" s="234"/>
      <c r="O202" s="234"/>
    </row>
    <row r="203" spans="2:15">
      <c r="B203" s="233" t="str">
        <f t="shared" si="24"/>
        <v/>
      </c>
      <c r="C203" s="243" t="str">
        <f t="shared" si="25"/>
        <v/>
      </c>
      <c r="D203" s="234" t="str">
        <f t="shared" si="26"/>
        <v/>
      </c>
      <c r="E203" s="234" t="str">
        <f t="shared" si="18"/>
        <v/>
      </c>
      <c r="F203" s="234" t="str">
        <f t="shared" si="19"/>
        <v/>
      </c>
      <c r="G203" s="234" t="str">
        <f t="shared" si="20"/>
        <v/>
      </c>
      <c r="H203" s="234" t="str">
        <f t="shared" si="21"/>
        <v/>
      </c>
      <c r="I203" s="234" t="str">
        <f t="shared" si="22"/>
        <v/>
      </c>
      <c r="J203" s="234" t="str">
        <f t="shared" si="23"/>
        <v/>
      </c>
      <c r="K203" s="234"/>
      <c r="L203" s="234"/>
      <c r="M203" s="234"/>
      <c r="N203" s="234"/>
      <c r="O203" s="234"/>
    </row>
    <row r="204" spans="2:15">
      <c r="B204" s="233" t="str">
        <f t="shared" si="24"/>
        <v/>
      </c>
      <c r="C204" s="243" t="str">
        <f t="shared" si="25"/>
        <v/>
      </c>
      <c r="D204" s="234" t="str">
        <f t="shared" si="26"/>
        <v/>
      </c>
      <c r="E204" s="234" t="str">
        <f t="shared" si="18"/>
        <v/>
      </c>
      <c r="F204" s="234" t="str">
        <f t="shared" si="19"/>
        <v/>
      </c>
      <c r="G204" s="234" t="str">
        <f t="shared" si="20"/>
        <v/>
      </c>
      <c r="H204" s="234" t="str">
        <f t="shared" si="21"/>
        <v/>
      </c>
      <c r="I204" s="234" t="str">
        <f t="shared" si="22"/>
        <v/>
      </c>
      <c r="J204" s="234" t="str">
        <f t="shared" si="23"/>
        <v/>
      </c>
      <c r="K204" s="234"/>
      <c r="L204" s="234"/>
      <c r="M204" s="234"/>
      <c r="N204" s="234"/>
      <c r="O204" s="234"/>
    </row>
    <row r="205" spans="2:15">
      <c r="B205" s="233" t="str">
        <f t="shared" si="24"/>
        <v/>
      </c>
      <c r="C205" s="243" t="str">
        <f t="shared" si="25"/>
        <v/>
      </c>
      <c r="D205" s="234" t="str">
        <f t="shared" si="26"/>
        <v/>
      </c>
      <c r="E205" s="234" t="str">
        <f t="shared" si="18"/>
        <v/>
      </c>
      <c r="F205" s="234" t="str">
        <f t="shared" si="19"/>
        <v/>
      </c>
      <c r="G205" s="234" t="str">
        <f t="shared" si="20"/>
        <v/>
      </c>
      <c r="H205" s="234" t="str">
        <f t="shared" si="21"/>
        <v/>
      </c>
      <c r="I205" s="234" t="str">
        <f t="shared" si="22"/>
        <v/>
      </c>
      <c r="J205" s="234" t="str">
        <f t="shared" si="23"/>
        <v/>
      </c>
      <c r="K205" s="234"/>
      <c r="L205" s="234"/>
      <c r="M205" s="234"/>
      <c r="N205" s="234"/>
      <c r="O205" s="234"/>
    </row>
    <row r="206" spans="2:15">
      <c r="B206" s="233" t="str">
        <f t="shared" si="24"/>
        <v/>
      </c>
      <c r="C206" s="243" t="str">
        <f t="shared" si="25"/>
        <v/>
      </c>
      <c r="D206" s="234" t="str">
        <f t="shared" si="26"/>
        <v/>
      </c>
      <c r="E206" s="234" t="str">
        <f t="shared" si="18"/>
        <v/>
      </c>
      <c r="F206" s="234" t="str">
        <f t="shared" si="19"/>
        <v/>
      </c>
      <c r="G206" s="234" t="str">
        <f t="shared" si="20"/>
        <v/>
      </c>
      <c r="H206" s="234" t="str">
        <f t="shared" si="21"/>
        <v/>
      </c>
      <c r="I206" s="234" t="str">
        <f t="shared" si="22"/>
        <v/>
      </c>
      <c r="J206" s="234" t="str">
        <f t="shared" si="23"/>
        <v/>
      </c>
      <c r="K206" s="234"/>
      <c r="L206" s="234"/>
      <c r="M206" s="234"/>
      <c r="N206" s="234"/>
      <c r="O206" s="234"/>
    </row>
    <row r="207" spans="2:15">
      <c r="B207" s="233" t="str">
        <f t="shared" si="24"/>
        <v/>
      </c>
      <c r="C207" s="243" t="str">
        <f t="shared" si="25"/>
        <v/>
      </c>
      <c r="D207" s="234" t="str">
        <f t="shared" si="26"/>
        <v/>
      </c>
      <c r="E207" s="234" t="str">
        <f t="shared" si="18"/>
        <v/>
      </c>
      <c r="F207" s="234" t="str">
        <f t="shared" si="19"/>
        <v/>
      </c>
      <c r="G207" s="234" t="str">
        <f t="shared" si="20"/>
        <v/>
      </c>
      <c r="H207" s="234" t="str">
        <f t="shared" si="21"/>
        <v/>
      </c>
      <c r="I207" s="234" t="str">
        <f t="shared" si="22"/>
        <v/>
      </c>
      <c r="J207" s="234" t="str">
        <f t="shared" si="23"/>
        <v/>
      </c>
      <c r="K207" s="234"/>
      <c r="L207" s="234"/>
      <c r="M207" s="234"/>
      <c r="N207" s="234"/>
      <c r="O207" s="234"/>
    </row>
    <row r="208" spans="2:15">
      <c r="B208" s="233" t="str">
        <f t="shared" si="24"/>
        <v/>
      </c>
      <c r="C208" s="243" t="str">
        <f t="shared" si="25"/>
        <v/>
      </c>
      <c r="D208" s="234" t="str">
        <f t="shared" si="26"/>
        <v/>
      </c>
      <c r="E208" s="234" t="str">
        <f t="shared" si="18"/>
        <v/>
      </c>
      <c r="F208" s="234" t="str">
        <f t="shared" si="19"/>
        <v/>
      </c>
      <c r="G208" s="234" t="str">
        <f t="shared" si="20"/>
        <v/>
      </c>
      <c r="H208" s="234" t="str">
        <f t="shared" si="21"/>
        <v/>
      </c>
      <c r="I208" s="234" t="str">
        <f t="shared" si="22"/>
        <v/>
      </c>
      <c r="J208" s="234" t="str">
        <f t="shared" si="23"/>
        <v/>
      </c>
      <c r="K208" s="234"/>
      <c r="L208" s="234"/>
      <c r="M208" s="234"/>
      <c r="N208" s="234"/>
      <c r="O208" s="234"/>
    </row>
    <row r="209" spans="2:15">
      <c r="B209" s="233" t="str">
        <f t="shared" si="24"/>
        <v/>
      </c>
      <c r="C209" s="243" t="str">
        <f t="shared" si="25"/>
        <v/>
      </c>
      <c r="D209" s="234" t="str">
        <f t="shared" si="26"/>
        <v/>
      </c>
      <c r="E209" s="234" t="str">
        <f t="shared" si="18"/>
        <v/>
      </c>
      <c r="F209" s="234" t="str">
        <f t="shared" si="19"/>
        <v/>
      </c>
      <c r="G209" s="234" t="str">
        <f t="shared" si="20"/>
        <v/>
      </c>
      <c r="H209" s="234" t="str">
        <f t="shared" si="21"/>
        <v/>
      </c>
      <c r="I209" s="234" t="str">
        <f t="shared" si="22"/>
        <v/>
      </c>
      <c r="J209" s="234" t="str">
        <f t="shared" si="23"/>
        <v/>
      </c>
      <c r="K209" s="234"/>
      <c r="L209" s="234"/>
      <c r="M209" s="234"/>
      <c r="N209" s="234"/>
      <c r="O209" s="234"/>
    </row>
    <row r="210" spans="2:15">
      <c r="B210" s="233" t="str">
        <f t="shared" si="24"/>
        <v/>
      </c>
      <c r="C210" s="243" t="str">
        <f t="shared" si="25"/>
        <v/>
      </c>
      <c r="D210" s="234" t="str">
        <f t="shared" si="26"/>
        <v/>
      </c>
      <c r="E210" s="234" t="str">
        <f t="shared" si="18"/>
        <v/>
      </c>
      <c r="F210" s="234" t="str">
        <f t="shared" si="19"/>
        <v/>
      </c>
      <c r="G210" s="234" t="str">
        <f t="shared" si="20"/>
        <v/>
      </c>
      <c r="H210" s="234" t="str">
        <f t="shared" si="21"/>
        <v/>
      </c>
      <c r="I210" s="234" t="str">
        <f t="shared" si="22"/>
        <v/>
      </c>
      <c r="J210" s="234" t="str">
        <f t="shared" si="23"/>
        <v/>
      </c>
      <c r="K210" s="234"/>
      <c r="L210" s="234"/>
      <c r="M210" s="234"/>
      <c r="N210" s="234"/>
      <c r="O210" s="234"/>
    </row>
    <row r="211" spans="2:15">
      <c r="B211" s="233" t="str">
        <f t="shared" si="24"/>
        <v/>
      </c>
      <c r="C211" s="243" t="str">
        <f t="shared" si="25"/>
        <v/>
      </c>
      <c r="D211" s="234" t="str">
        <f t="shared" si="26"/>
        <v/>
      </c>
      <c r="E211" s="234" t="str">
        <f t="shared" si="18"/>
        <v/>
      </c>
      <c r="F211" s="234" t="str">
        <f t="shared" si="19"/>
        <v/>
      </c>
      <c r="G211" s="234" t="str">
        <f t="shared" si="20"/>
        <v/>
      </c>
      <c r="H211" s="234" t="str">
        <f t="shared" si="21"/>
        <v/>
      </c>
      <c r="I211" s="234" t="str">
        <f t="shared" si="22"/>
        <v/>
      </c>
      <c r="J211" s="234" t="str">
        <f t="shared" si="23"/>
        <v/>
      </c>
      <c r="K211" s="234"/>
      <c r="L211" s="234"/>
      <c r="M211" s="234"/>
      <c r="N211" s="234"/>
      <c r="O211" s="234"/>
    </row>
    <row r="212" spans="2:15">
      <c r="B212" s="233" t="str">
        <f t="shared" si="24"/>
        <v/>
      </c>
      <c r="C212" s="243" t="str">
        <f t="shared" si="25"/>
        <v/>
      </c>
      <c r="D212" s="234" t="str">
        <f t="shared" si="26"/>
        <v/>
      </c>
      <c r="E212" s="234" t="str">
        <f t="shared" si="18"/>
        <v/>
      </c>
      <c r="F212" s="234" t="str">
        <f t="shared" si="19"/>
        <v/>
      </c>
      <c r="G212" s="234" t="str">
        <f t="shared" si="20"/>
        <v/>
      </c>
      <c r="H212" s="234" t="str">
        <f t="shared" si="21"/>
        <v/>
      </c>
      <c r="I212" s="234" t="str">
        <f t="shared" si="22"/>
        <v/>
      </c>
      <c r="J212" s="234" t="str">
        <f t="shared" si="23"/>
        <v/>
      </c>
      <c r="K212" s="234"/>
      <c r="L212" s="234"/>
      <c r="M212" s="234"/>
      <c r="N212" s="234"/>
      <c r="O212" s="234"/>
    </row>
    <row r="213" spans="2:15">
      <c r="B213" s="233" t="str">
        <f t="shared" si="24"/>
        <v/>
      </c>
      <c r="C213" s="243" t="str">
        <f t="shared" si="25"/>
        <v/>
      </c>
      <c r="D213" s="234" t="str">
        <f t="shared" si="26"/>
        <v/>
      </c>
      <c r="E213" s="234" t="str">
        <f t="shared" si="18"/>
        <v/>
      </c>
      <c r="F213" s="234" t="str">
        <f t="shared" si="19"/>
        <v/>
      </c>
      <c r="G213" s="234" t="str">
        <f t="shared" si="20"/>
        <v/>
      </c>
      <c r="H213" s="234" t="str">
        <f t="shared" si="21"/>
        <v/>
      </c>
      <c r="I213" s="234" t="str">
        <f t="shared" si="22"/>
        <v/>
      </c>
      <c r="J213" s="234" t="str">
        <f t="shared" si="23"/>
        <v/>
      </c>
      <c r="K213" s="234"/>
      <c r="L213" s="234"/>
      <c r="M213" s="234"/>
      <c r="N213" s="234"/>
      <c r="O213" s="234"/>
    </row>
    <row r="214" spans="2:15">
      <c r="B214" s="233" t="str">
        <f t="shared" si="24"/>
        <v/>
      </c>
      <c r="C214" s="243" t="str">
        <f t="shared" si="25"/>
        <v/>
      </c>
      <c r="D214" s="234" t="str">
        <f t="shared" si="26"/>
        <v/>
      </c>
      <c r="E214" s="234" t="str">
        <f t="shared" si="18"/>
        <v/>
      </c>
      <c r="F214" s="234" t="str">
        <f t="shared" si="19"/>
        <v/>
      </c>
      <c r="G214" s="234" t="str">
        <f t="shared" si="20"/>
        <v/>
      </c>
      <c r="H214" s="234" t="str">
        <f t="shared" si="21"/>
        <v/>
      </c>
      <c r="I214" s="234" t="str">
        <f t="shared" si="22"/>
        <v/>
      </c>
      <c r="J214" s="234" t="str">
        <f t="shared" si="23"/>
        <v/>
      </c>
      <c r="K214" s="234"/>
      <c r="L214" s="234"/>
      <c r="M214" s="234"/>
      <c r="N214" s="234"/>
      <c r="O214" s="234"/>
    </row>
    <row r="215" spans="2:15">
      <c r="B215" s="233" t="str">
        <f t="shared" si="24"/>
        <v/>
      </c>
      <c r="C215" s="243" t="str">
        <f t="shared" si="25"/>
        <v/>
      </c>
      <c r="D215" s="234" t="str">
        <f t="shared" si="26"/>
        <v/>
      </c>
      <c r="E215" s="234" t="str">
        <f t="shared" si="18"/>
        <v/>
      </c>
      <c r="F215" s="234" t="str">
        <f t="shared" si="19"/>
        <v/>
      </c>
      <c r="G215" s="234" t="str">
        <f t="shared" si="20"/>
        <v/>
      </c>
      <c r="H215" s="234" t="str">
        <f t="shared" si="21"/>
        <v/>
      </c>
      <c r="I215" s="234" t="str">
        <f t="shared" si="22"/>
        <v/>
      </c>
      <c r="J215" s="234" t="str">
        <f t="shared" si="23"/>
        <v/>
      </c>
      <c r="K215" s="234"/>
      <c r="L215" s="234"/>
      <c r="M215" s="234"/>
      <c r="N215" s="234"/>
      <c r="O215" s="234"/>
    </row>
    <row r="216" spans="2:15">
      <c r="B216" s="233" t="str">
        <f t="shared" si="24"/>
        <v/>
      </c>
      <c r="C216" s="243" t="str">
        <f t="shared" si="25"/>
        <v/>
      </c>
      <c r="D216" s="234" t="str">
        <f t="shared" si="26"/>
        <v/>
      </c>
      <c r="E216" s="234" t="str">
        <f t="shared" si="18"/>
        <v/>
      </c>
      <c r="F216" s="234" t="str">
        <f t="shared" si="19"/>
        <v/>
      </c>
      <c r="G216" s="234" t="str">
        <f t="shared" si="20"/>
        <v/>
      </c>
      <c r="H216" s="234" t="str">
        <f t="shared" si="21"/>
        <v/>
      </c>
      <c r="I216" s="234" t="str">
        <f t="shared" si="22"/>
        <v/>
      </c>
      <c r="J216" s="234" t="str">
        <f t="shared" si="23"/>
        <v/>
      </c>
      <c r="K216" s="234"/>
      <c r="L216" s="234"/>
      <c r="M216" s="234"/>
      <c r="N216" s="234"/>
      <c r="O216" s="234"/>
    </row>
    <row r="217" spans="2:15">
      <c r="B217" s="233" t="str">
        <f t="shared" si="24"/>
        <v/>
      </c>
      <c r="C217" s="243" t="str">
        <f t="shared" si="25"/>
        <v/>
      </c>
      <c r="D217" s="234" t="str">
        <f t="shared" si="26"/>
        <v/>
      </c>
      <c r="E217" s="234" t="str">
        <f t="shared" ref="E217:E280" si="27">IF(B217&lt;&gt;"",$E$17,"")</f>
        <v/>
      </c>
      <c r="F217" s="234" t="str">
        <f t="shared" ref="F217:F280" si="28">IF(B217&lt;&gt;"",$E$13,"")</f>
        <v/>
      </c>
      <c r="G217" s="234" t="str">
        <f t="shared" ref="G217:G280" si="29">IF(B217&lt;&gt;"",E217+F217,"")</f>
        <v/>
      </c>
      <c r="H217" s="234" t="str">
        <f t="shared" ref="H217:H280" si="30">IF(B217&lt;&gt;"",E217+F217-I217,"")</f>
        <v/>
      </c>
      <c r="I217" s="234" t="str">
        <f t="shared" ref="I217:I280" si="31">IF(B217&lt;&gt;"",D217*$E$10/12,"")</f>
        <v/>
      </c>
      <c r="J217" s="234" t="str">
        <f t="shared" ref="J217:J280" si="32">IF(B217&lt;&gt;"",D217-H217,"")</f>
        <v/>
      </c>
      <c r="K217" s="234"/>
      <c r="L217" s="234"/>
      <c r="M217" s="234"/>
      <c r="N217" s="234"/>
      <c r="O217" s="234"/>
    </row>
    <row r="218" spans="2:15">
      <c r="B218" s="233" t="str">
        <f t="shared" ref="B218:B281" si="33">IF(OR(ISERROR(IF(B217+1&lt;=$E$18,B217+1,"")),J217&lt;=0),"",IF(B217+1&lt;=$E$18,B217+1,""))</f>
        <v/>
      </c>
      <c r="C218" s="243" t="str">
        <f t="shared" ref="C218:C281" si="34">IF(B218&lt;&gt;"",DATE(YEAR(C217),MONTH(C217)+1,DAY(C217)),"")</f>
        <v/>
      </c>
      <c r="D218" s="234" t="str">
        <f t="shared" ref="D218:D281" si="35">IF(B218&lt;&gt;"",J217,"")</f>
        <v/>
      </c>
      <c r="E218" s="234" t="str">
        <f t="shared" si="27"/>
        <v/>
      </c>
      <c r="F218" s="234" t="str">
        <f t="shared" si="28"/>
        <v/>
      </c>
      <c r="G218" s="234" t="str">
        <f t="shared" si="29"/>
        <v/>
      </c>
      <c r="H218" s="234" t="str">
        <f t="shared" si="30"/>
        <v/>
      </c>
      <c r="I218" s="234" t="str">
        <f t="shared" si="31"/>
        <v/>
      </c>
      <c r="J218" s="234" t="str">
        <f t="shared" si="32"/>
        <v/>
      </c>
      <c r="K218" s="234"/>
      <c r="L218" s="234"/>
      <c r="M218" s="234"/>
      <c r="N218" s="234"/>
      <c r="O218" s="234"/>
    </row>
    <row r="219" spans="2:15">
      <c r="B219" s="233" t="str">
        <f t="shared" si="33"/>
        <v/>
      </c>
      <c r="C219" s="243" t="str">
        <f t="shared" si="34"/>
        <v/>
      </c>
      <c r="D219" s="234" t="str">
        <f t="shared" si="35"/>
        <v/>
      </c>
      <c r="E219" s="234" t="str">
        <f t="shared" si="27"/>
        <v/>
      </c>
      <c r="F219" s="234" t="str">
        <f t="shared" si="28"/>
        <v/>
      </c>
      <c r="G219" s="234" t="str">
        <f t="shared" si="29"/>
        <v/>
      </c>
      <c r="H219" s="234" t="str">
        <f t="shared" si="30"/>
        <v/>
      </c>
      <c r="I219" s="234" t="str">
        <f t="shared" si="31"/>
        <v/>
      </c>
      <c r="J219" s="234" t="str">
        <f t="shared" si="32"/>
        <v/>
      </c>
      <c r="K219" s="234"/>
      <c r="L219" s="234"/>
      <c r="M219" s="234"/>
      <c r="N219" s="234"/>
      <c r="O219" s="234"/>
    </row>
    <row r="220" spans="2:15">
      <c r="B220" s="233" t="str">
        <f t="shared" si="33"/>
        <v/>
      </c>
      <c r="C220" s="243" t="str">
        <f t="shared" si="34"/>
        <v/>
      </c>
      <c r="D220" s="234" t="str">
        <f t="shared" si="35"/>
        <v/>
      </c>
      <c r="E220" s="234" t="str">
        <f t="shared" si="27"/>
        <v/>
      </c>
      <c r="F220" s="234" t="str">
        <f t="shared" si="28"/>
        <v/>
      </c>
      <c r="G220" s="234" t="str">
        <f t="shared" si="29"/>
        <v/>
      </c>
      <c r="H220" s="234" t="str">
        <f t="shared" si="30"/>
        <v/>
      </c>
      <c r="I220" s="234" t="str">
        <f t="shared" si="31"/>
        <v/>
      </c>
      <c r="J220" s="234" t="str">
        <f t="shared" si="32"/>
        <v/>
      </c>
      <c r="K220" s="234"/>
      <c r="L220" s="234"/>
      <c r="M220" s="234"/>
      <c r="N220" s="234"/>
      <c r="O220" s="234"/>
    </row>
    <row r="221" spans="2:15">
      <c r="B221" s="233" t="str">
        <f t="shared" si="33"/>
        <v/>
      </c>
      <c r="C221" s="243" t="str">
        <f t="shared" si="34"/>
        <v/>
      </c>
      <c r="D221" s="234" t="str">
        <f t="shared" si="35"/>
        <v/>
      </c>
      <c r="E221" s="234" t="str">
        <f t="shared" si="27"/>
        <v/>
      </c>
      <c r="F221" s="234" t="str">
        <f t="shared" si="28"/>
        <v/>
      </c>
      <c r="G221" s="234" t="str">
        <f t="shared" si="29"/>
        <v/>
      </c>
      <c r="H221" s="234" t="str">
        <f t="shared" si="30"/>
        <v/>
      </c>
      <c r="I221" s="234" t="str">
        <f t="shared" si="31"/>
        <v/>
      </c>
      <c r="J221" s="234" t="str">
        <f t="shared" si="32"/>
        <v/>
      </c>
      <c r="K221" s="234"/>
      <c r="L221" s="234"/>
      <c r="M221" s="234"/>
      <c r="N221" s="234"/>
      <c r="O221" s="234"/>
    </row>
    <row r="222" spans="2:15">
      <c r="B222" s="233" t="str">
        <f t="shared" si="33"/>
        <v/>
      </c>
      <c r="C222" s="243" t="str">
        <f t="shared" si="34"/>
        <v/>
      </c>
      <c r="D222" s="234" t="str">
        <f t="shared" si="35"/>
        <v/>
      </c>
      <c r="E222" s="234" t="str">
        <f t="shared" si="27"/>
        <v/>
      </c>
      <c r="F222" s="234" t="str">
        <f t="shared" si="28"/>
        <v/>
      </c>
      <c r="G222" s="234" t="str">
        <f t="shared" si="29"/>
        <v/>
      </c>
      <c r="H222" s="234" t="str">
        <f t="shared" si="30"/>
        <v/>
      </c>
      <c r="I222" s="234" t="str">
        <f t="shared" si="31"/>
        <v/>
      </c>
      <c r="J222" s="234" t="str">
        <f t="shared" si="32"/>
        <v/>
      </c>
      <c r="K222" s="234"/>
      <c r="L222" s="234"/>
      <c r="M222" s="234"/>
      <c r="N222" s="234"/>
      <c r="O222" s="234"/>
    </row>
    <row r="223" spans="2:15">
      <c r="B223" s="233" t="str">
        <f t="shared" si="33"/>
        <v/>
      </c>
      <c r="C223" s="243" t="str">
        <f t="shared" si="34"/>
        <v/>
      </c>
      <c r="D223" s="234" t="str">
        <f t="shared" si="35"/>
        <v/>
      </c>
      <c r="E223" s="234" t="str">
        <f t="shared" si="27"/>
        <v/>
      </c>
      <c r="F223" s="234" t="str">
        <f t="shared" si="28"/>
        <v/>
      </c>
      <c r="G223" s="234" t="str">
        <f t="shared" si="29"/>
        <v/>
      </c>
      <c r="H223" s="234" t="str">
        <f t="shared" si="30"/>
        <v/>
      </c>
      <c r="I223" s="234" t="str">
        <f t="shared" si="31"/>
        <v/>
      </c>
      <c r="J223" s="234" t="str">
        <f t="shared" si="32"/>
        <v/>
      </c>
      <c r="K223" s="234"/>
      <c r="L223" s="234"/>
      <c r="M223" s="234"/>
      <c r="N223" s="234"/>
      <c r="O223" s="234"/>
    </row>
    <row r="224" spans="2:15">
      <c r="B224" s="233" t="str">
        <f t="shared" si="33"/>
        <v/>
      </c>
      <c r="C224" s="243" t="str">
        <f t="shared" si="34"/>
        <v/>
      </c>
      <c r="D224" s="234" t="str">
        <f t="shared" si="35"/>
        <v/>
      </c>
      <c r="E224" s="234" t="str">
        <f t="shared" si="27"/>
        <v/>
      </c>
      <c r="F224" s="234" t="str">
        <f t="shared" si="28"/>
        <v/>
      </c>
      <c r="G224" s="234" t="str">
        <f t="shared" si="29"/>
        <v/>
      </c>
      <c r="H224" s="234" t="str">
        <f t="shared" si="30"/>
        <v/>
      </c>
      <c r="I224" s="234" t="str">
        <f t="shared" si="31"/>
        <v/>
      </c>
      <c r="J224" s="234" t="str">
        <f t="shared" si="32"/>
        <v/>
      </c>
      <c r="K224" s="234"/>
      <c r="L224" s="234"/>
      <c r="M224" s="234"/>
      <c r="N224" s="234"/>
      <c r="O224" s="234"/>
    </row>
    <row r="225" spans="2:15">
      <c r="B225" s="233" t="str">
        <f t="shared" si="33"/>
        <v/>
      </c>
      <c r="C225" s="243" t="str">
        <f t="shared" si="34"/>
        <v/>
      </c>
      <c r="D225" s="234" t="str">
        <f t="shared" si="35"/>
        <v/>
      </c>
      <c r="E225" s="234" t="str">
        <f t="shared" si="27"/>
        <v/>
      </c>
      <c r="F225" s="234" t="str">
        <f t="shared" si="28"/>
        <v/>
      </c>
      <c r="G225" s="234" t="str">
        <f t="shared" si="29"/>
        <v/>
      </c>
      <c r="H225" s="234" t="str">
        <f t="shared" si="30"/>
        <v/>
      </c>
      <c r="I225" s="234" t="str">
        <f t="shared" si="31"/>
        <v/>
      </c>
      <c r="J225" s="234" t="str">
        <f t="shared" si="32"/>
        <v/>
      </c>
      <c r="K225" s="234"/>
      <c r="L225" s="234"/>
      <c r="M225" s="234"/>
      <c r="N225" s="234"/>
      <c r="O225" s="234"/>
    </row>
    <row r="226" spans="2:15">
      <c r="B226" s="233" t="str">
        <f t="shared" si="33"/>
        <v/>
      </c>
      <c r="C226" s="243" t="str">
        <f t="shared" si="34"/>
        <v/>
      </c>
      <c r="D226" s="234" t="str">
        <f t="shared" si="35"/>
        <v/>
      </c>
      <c r="E226" s="234" t="str">
        <f t="shared" si="27"/>
        <v/>
      </c>
      <c r="F226" s="234" t="str">
        <f t="shared" si="28"/>
        <v/>
      </c>
      <c r="G226" s="234" t="str">
        <f t="shared" si="29"/>
        <v/>
      </c>
      <c r="H226" s="234" t="str">
        <f t="shared" si="30"/>
        <v/>
      </c>
      <c r="I226" s="234" t="str">
        <f t="shared" si="31"/>
        <v/>
      </c>
      <c r="J226" s="234" t="str">
        <f t="shared" si="32"/>
        <v/>
      </c>
      <c r="K226" s="234"/>
      <c r="L226" s="234"/>
      <c r="M226" s="234"/>
      <c r="N226" s="234"/>
      <c r="O226" s="234"/>
    </row>
    <row r="227" spans="2:15">
      <c r="B227" s="233" t="str">
        <f t="shared" si="33"/>
        <v/>
      </c>
      <c r="C227" s="243" t="str">
        <f t="shared" si="34"/>
        <v/>
      </c>
      <c r="D227" s="234" t="str">
        <f t="shared" si="35"/>
        <v/>
      </c>
      <c r="E227" s="234" t="str">
        <f t="shared" si="27"/>
        <v/>
      </c>
      <c r="F227" s="234" t="str">
        <f t="shared" si="28"/>
        <v/>
      </c>
      <c r="G227" s="234" t="str">
        <f t="shared" si="29"/>
        <v/>
      </c>
      <c r="H227" s="234" t="str">
        <f t="shared" si="30"/>
        <v/>
      </c>
      <c r="I227" s="234" t="str">
        <f t="shared" si="31"/>
        <v/>
      </c>
      <c r="J227" s="234" t="str">
        <f t="shared" si="32"/>
        <v/>
      </c>
      <c r="K227" s="234"/>
      <c r="L227" s="234"/>
      <c r="M227" s="234"/>
      <c r="N227" s="234"/>
      <c r="O227" s="234"/>
    </row>
    <row r="228" spans="2:15">
      <c r="B228" s="233" t="str">
        <f t="shared" si="33"/>
        <v/>
      </c>
      <c r="C228" s="243" t="str">
        <f t="shared" si="34"/>
        <v/>
      </c>
      <c r="D228" s="234" t="str">
        <f t="shared" si="35"/>
        <v/>
      </c>
      <c r="E228" s="234" t="str">
        <f t="shared" si="27"/>
        <v/>
      </c>
      <c r="F228" s="234" t="str">
        <f t="shared" si="28"/>
        <v/>
      </c>
      <c r="G228" s="234" t="str">
        <f t="shared" si="29"/>
        <v/>
      </c>
      <c r="H228" s="234" t="str">
        <f t="shared" si="30"/>
        <v/>
      </c>
      <c r="I228" s="234" t="str">
        <f t="shared" si="31"/>
        <v/>
      </c>
      <c r="J228" s="234" t="str">
        <f t="shared" si="32"/>
        <v/>
      </c>
      <c r="K228" s="234"/>
      <c r="L228" s="234"/>
      <c r="M228" s="234"/>
      <c r="N228" s="234"/>
      <c r="O228" s="234"/>
    </row>
    <row r="229" spans="2:15">
      <c r="B229" s="233" t="str">
        <f t="shared" si="33"/>
        <v/>
      </c>
      <c r="C229" s="243" t="str">
        <f t="shared" si="34"/>
        <v/>
      </c>
      <c r="D229" s="234" t="str">
        <f t="shared" si="35"/>
        <v/>
      </c>
      <c r="E229" s="234" t="str">
        <f t="shared" si="27"/>
        <v/>
      </c>
      <c r="F229" s="234" t="str">
        <f t="shared" si="28"/>
        <v/>
      </c>
      <c r="G229" s="234" t="str">
        <f t="shared" si="29"/>
        <v/>
      </c>
      <c r="H229" s="234" t="str">
        <f t="shared" si="30"/>
        <v/>
      </c>
      <c r="I229" s="234" t="str">
        <f t="shared" si="31"/>
        <v/>
      </c>
      <c r="J229" s="234" t="str">
        <f t="shared" si="32"/>
        <v/>
      </c>
      <c r="K229" s="234"/>
      <c r="L229" s="234"/>
      <c r="M229" s="234"/>
      <c r="N229" s="234"/>
      <c r="O229" s="234"/>
    </row>
    <row r="230" spans="2:15">
      <c r="B230" s="233" t="str">
        <f t="shared" si="33"/>
        <v/>
      </c>
      <c r="C230" s="243" t="str">
        <f t="shared" si="34"/>
        <v/>
      </c>
      <c r="D230" s="234" t="str">
        <f t="shared" si="35"/>
        <v/>
      </c>
      <c r="E230" s="234" t="str">
        <f t="shared" si="27"/>
        <v/>
      </c>
      <c r="F230" s="234" t="str">
        <f t="shared" si="28"/>
        <v/>
      </c>
      <c r="G230" s="234" t="str">
        <f t="shared" si="29"/>
        <v/>
      </c>
      <c r="H230" s="234" t="str">
        <f t="shared" si="30"/>
        <v/>
      </c>
      <c r="I230" s="234" t="str">
        <f t="shared" si="31"/>
        <v/>
      </c>
      <c r="J230" s="234" t="str">
        <f t="shared" si="32"/>
        <v/>
      </c>
      <c r="K230" s="234"/>
      <c r="L230" s="234"/>
      <c r="M230" s="234"/>
      <c r="N230" s="234"/>
      <c r="O230" s="234"/>
    </row>
    <row r="231" spans="2:15">
      <c r="B231" s="233" t="str">
        <f t="shared" si="33"/>
        <v/>
      </c>
      <c r="C231" s="243" t="str">
        <f t="shared" si="34"/>
        <v/>
      </c>
      <c r="D231" s="234" t="str">
        <f t="shared" si="35"/>
        <v/>
      </c>
      <c r="E231" s="234" t="str">
        <f t="shared" si="27"/>
        <v/>
      </c>
      <c r="F231" s="234" t="str">
        <f t="shared" si="28"/>
        <v/>
      </c>
      <c r="G231" s="234" t="str">
        <f t="shared" si="29"/>
        <v/>
      </c>
      <c r="H231" s="234" t="str">
        <f t="shared" si="30"/>
        <v/>
      </c>
      <c r="I231" s="234" t="str">
        <f t="shared" si="31"/>
        <v/>
      </c>
      <c r="J231" s="234" t="str">
        <f t="shared" si="32"/>
        <v/>
      </c>
      <c r="K231" s="234"/>
      <c r="L231" s="234"/>
      <c r="M231" s="234"/>
      <c r="N231" s="234"/>
      <c r="O231" s="234"/>
    </row>
    <row r="232" spans="2:15">
      <c r="B232" s="233" t="str">
        <f t="shared" si="33"/>
        <v/>
      </c>
      <c r="C232" s="243" t="str">
        <f t="shared" si="34"/>
        <v/>
      </c>
      <c r="D232" s="234" t="str">
        <f t="shared" si="35"/>
        <v/>
      </c>
      <c r="E232" s="234" t="str">
        <f t="shared" si="27"/>
        <v/>
      </c>
      <c r="F232" s="234" t="str">
        <f t="shared" si="28"/>
        <v/>
      </c>
      <c r="G232" s="234" t="str">
        <f t="shared" si="29"/>
        <v/>
      </c>
      <c r="H232" s="234" t="str">
        <f t="shared" si="30"/>
        <v/>
      </c>
      <c r="I232" s="234" t="str">
        <f t="shared" si="31"/>
        <v/>
      </c>
      <c r="J232" s="234" t="str">
        <f t="shared" si="32"/>
        <v/>
      </c>
      <c r="K232" s="234"/>
      <c r="L232" s="234"/>
      <c r="M232" s="234"/>
      <c r="N232" s="234"/>
      <c r="O232" s="234"/>
    </row>
    <row r="233" spans="2:15">
      <c r="B233" s="233" t="str">
        <f t="shared" si="33"/>
        <v/>
      </c>
      <c r="C233" s="243" t="str">
        <f t="shared" si="34"/>
        <v/>
      </c>
      <c r="D233" s="234" t="str">
        <f t="shared" si="35"/>
        <v/>
      </c>
      <c r="E233" s="234" t="str">
        <f t="shared" si="27"/>
        <v/>
      </c>
      <c r="F233" s="234" t="str">
        <f t="shared" si="28"/>
        <v/>
      </c>
      <c r="G233" s="234" t="str">
        <f t="shared" si="29"/>
        <v/>
      </c>
      <c r="H233" s="234" t="str">
        <f t="shared" si="30"/>
        <v/>
      </c>
      <c r="I233" s="234" t="str">
        <f t="shared" si="31"/>
        <v/>
      </c>
      <c r="J233" s="234" t="str">
        <f t="shared" si="32"/>
        <v/>
      </c>
      <c r="K233" s="234"/>
      <c r="L233" s="234"/>
      <c r="M233" s="234"/>
      <c r="N233" s="234"/>
      <c r="O233" s="234"/>
    </row>
    <row r="234" spans="2:15">
      <c r="B234" s="233" t="str">
        <f t="shared" si="33"/>
        <v/>
      </c>
      <c r="C234" s="243" t="str">
        <f t="shared" si="34"/>
        <v/>
      </c>
      <c r="D234" s="234" t="str">
        <f t="shared" si="35"/>
        <v/>
      </c>
      <c r="E234" s="234" t="str">
        <f t="shared" si="27"/>
        <v/>
      </c>
      <c r="F234" s="234" t="str">
        <f t="shared" si="28"/>
        <v/>
      </c>
      <c r="G234" s="234" t="str">
        <f t="shared" si="29"/>
        <v/>
      </c>
      <c r="H234" s="234" t="str">
        <f t="shared" si="30"/>
        <v/>
      </c>
      <c r="I234" s="234" t="str">
        <f t="shared" si="31"/>
        <v/>
      </c>
      <c r="J234" s="234" t="str">
        <f t="shared" si="32"/>
        <v/>
      </c>
      <c r="K234" s="234"/>
      <c r="L234" s="234"/>
      <c r="M234" s="234"/>
      <c r="N234" s="234"/>
      <c r="O234" s="234"/>
    </row>
    <row r="235" spans="2:15">
      <c r="B235" s="233" t="str">
        <f t="shared" si="33"/>
        <v/>
      </c>
      <c r="C235" s="243" t="str">
        <f t="shared" si="34"/>
        <v/>
      </c>
      <c r="D235" s="234" t="str">
        <f t="shared" si="35"/>
        <v/>
      </c>
      <c r="E235" s="234" t="str">
        <f t="shared" si="27"/>
        <v/>
      </c>
      <c r="F235" s="234" t="str">
        <f t="shared" si="28"/>
        <v/>
      </c>
      <c r="G235" s="234" t="str">
        <f t="shared" si="29"/>
        <v/>
      </c>
      <c r="H235" s="234" t="str">
        <f t="shared" si="30"/>
        <v/>
      </c>
      <c r="I235" s="234" t="str">
        <f t="shared" si="31"/>
        <v/>
      </c>
      <c r="J235" s="234" t="str">
        <f t="shared" si="32"/>
        <v/>
      </c>
      <c r="K235" s="234"/>
      <c r="L235" s="234"/>
      <c r="M235" s="234"/>
      <c r="N235" s="234"/>
      <c r="O235" s="234"/>
    </row>
    <row r="236" spans="2:15">
      <c r="B236" s="233" t="str">
        <f t="shared" si="33"/>
        <v/>
      </c>
      <c r="C236" s="243" t="str">
        <f t="shared" si="34"/>
        <v/>
      </c>
      <c r="D236" s="234" t="str">
        <f t="shared" si="35"/>
        <v/>
      </c>
      <c r="E236" s="234" t="str">
        <f t="shared" si="27"/>
        <v/>
      </c>
      <c r="F236" s="234" t="str">
        <f t="shared" si="28"/>
        <v/>
      </c>
      <c r="G236" s="234" t="str">
        <f t="shared" si="29"/>
        <v/>
      </c>
      <c r="H236" s="234" t="str">
        <f t="shared" si="30"/>
        <v/>
      </c>
      <c r="I236" s="234" t="str">
        <f t="shared" si="31"/>
        <v/>
      </c>
      <c r="J236" s="234" t="str">
        <f t="shared" si="32"/>
        <v/>
      </c>
      <c r="K236" s="234"/>
      <c r="L236" s="234"/>
      <c r="M236" s="234"/>
      <c r="N236" s="234"/>
      <c r="O236" s="234"/>
    </row>
    <row r="237" spans="2:15">
      <c r="B237" s="233" t="str">
        <f t="shared" si="33"/>
        <v/>
      </c>
      <c r="C237" s="243" t="str">
        <f t="shared" si="34"/>
        <v/>
      </c>
      <c r="D237" s="234" t="str">
        <f t="shared" si="35"/>
        <v/>
      </c>
      <c r="E237" s="234" t="str">
        <f t="shared" si="27"/>
        <v/>
      </c>
      <c r="F237" s="234" t="str">
        <f t="shared" si="28"/>
        <v/>
      </c>
      <c r="G237" s="234" t="str">
        <f t="shared" si="29"/>
        <v/>
      </c>
      <c r="H237" s="234" t="str">
        <f t="shared" si="30"/>
        <v/>
      </c>
      <c r="I237" s="234" t="str">
        <f t="shared" si="31"/>
        <v/>
      </c>
      <c r="J237" s="234" t="str">
        <f t="shared" si="32"/>
        <v/>
      </c>
      <c r="K237" s="234"/>
      <c r="L237" s="234"/>
      <c r="M237" s="234"/>
      <c r="N237" s="234"/>
      <c r="O237" s="234"/>
    </row>
    <row r="238" spans="2:15">
      <c r="B238" s="233" t="str">
        <f t="shared" si="33"/>
        <v/>
      </c>
      <c r="C238" s="243" t="str">
        <f t="shared" si="34"/>
        <v/>
      </c>
      <c r="D238" s="234" t="str">
        <f t="shared" si="35"/>
        <v/>
      </c>
      <c r="E238" s="234" t="str">
        <f t="shared" si="27"/>
        <v/>
      </c>
      <c r="F238" s="234" t="str">
        <f t="shared" si="28"/>
        <v/>
      </c>
      <c r="G238" s="234" t="str">
        <f t="shared" si="29"/>
        <v/>
      </c>
      <c r="H238" s="234" t="str">
        <f t="shared" si="30"/>
        <v/>
      </c>
      <c r="I238" s="234" t="str">
        <f t="shared" si="31"/>
        <v/>
      </c>
      <c r="J238" s="234" t="str">
        <f t="shared" si="32"/>
        <v/>
      </c>
      <c r="K238" s="234"/>
      <c r="L238" s="234"/>
      <c r="M238" s="234"/>
      <c r="N238" s="234"/>
      <c r="O238" s="234"/>
    </row>
    <row r="239" spans="2:15">
      <c r="B239" s="233" t="str">
        <f t="shared" si="33"/>
        <v/>
      </c>
      <c r="C239" s="243" t="str">
        <f t="shared" si="34"/>
        <v/>
      </c>
      <c r="D239" s="234" t="str">
        <f t="shared" si="35"/>
        <v/>
      </c>
      <c r="E239" s="234" t="str">
        <f t="shared" si="27"/>
        <v/>
      </c>
      <c r="F239" s="234" t="str">
        <f t="shared" si="28"/>
        <v/>
      </c>
      <c r="G239" s="234" t="str">
        <f t="shared" si="29"/>
        <v/>
      </c>
      <c r="H239" s="234" t="str">
        <f t="shared" si="30"/>
        <v/>
      </c>
      <c r="I239" s="234" t="str">
        <f t="shared" si="31"/>
        <v/>
      </c>
      <c r="J239" s="234" t="str">
        <f t="shared" si="32"/>
        <v/>
      </c>
      <c r="K239" s="234"/>
      <c r="L239" s="234"/>
      <c r="M239" s="234"/>
      <c r="N239" s="234"/>
      <c r="O239" s="234"/>
    </row>
    <row r="240" spans="2:15">
      <c r="B240" s="233" t="str">
        <f t="shared" si="33"/>
        <v/>
      </c>
      <c r="C240" s="243" t="str">
        <f t="shared" si="34"/>
        <v/>
      </c>
      <c r="D240" s="234" t="str">
        <f t="shared" si="35"/>
        <v/>
      </c>
      <c r="E240" s="234" t="str">
        <f t="shared" si="27"/>
        <v/>
      </c>
      <c r="F240" s="234" t="str">
        <f t="shared" si="28"/>
        <v/>
      </c>
      <c r="G240" s="234" t="str">
        <f t="shared" si="29"/>
        <v/>
      </c>
      <c r="H240" s="234" t="str">
        <f t="shared" si="30"/>
        <v/>
      </c>
      <c r="I240" s="234" t="str">
        <f t="shared" si="31"/>
        <v/>
      </c>
      <c r="J240" s="234" t="str">
        <f t="shared" si="32"/>
        <v/>
      </c>
      <c r="K240" s="234"/>
      <c r="L240" s="234"/>
      <c r="M240" s="234"/>
      <c r="N240" s="234"/>
      <c r="O240" s="234"/>
    </row>
    <row r="241" spans="2:15">
      <c r="B241" s="233" t="str">
        <f t="shared" si="33"/>
        <v/>
      </c>
      <c r="C241" s="243" t="str">
        <f t="shared" si="34"/>
        <v/>
      </c>
      <c r="D241" s="234" t="str">
        <f t="shared" si="35"/>
        <v/>
      </c>
      <c r="E241" s="234" t="str">
        <f t="shared" si="27"/>
        <v/>
      </c>
      <c r="F241" s="234" t="str">
        <f t="shared" si="28"/>
        <v/>
      </c>
      <c r="G241" s="234" t="str">
        <f t="shared" si="29"/>
        <v/>
      </c>
      <c r="H241" s="234" t="str">
        <f t="shared" si="30"/>
        <v/>
      </c>
      <c r="I241" s="234" t="str">
        <f t="shared" si="31"/>
        <v/>
      </c>
      <c r="J241" s="234" t="str">
        <f t="shared" si="32"/>
        <v/>
      </c>
      <c r="K241" s="234"/>
      <c r="L241" s="234"/>
      <c r="M241" s="234"/>
      <c r="N241" s="234"/>
      <c r="O241" s="234"/>
    </row>
    <row r="242" spans="2:15">
      <c r="B242" s="233" t="str">
        <f t="shared" si="33"/>
        <v/>
      </c>
      <c r="C242" s="243" t="str">
        <f t="shared" si="34"/>
        <v/>
      </c>
      <c r="D242" s="234" t="str">
        <f t="shared" si="35"/>
        <v/>
      </c>
      <c r="E242" s="234" t="str">
        <f t="shared" si="27"/>
        <v/>
      </c>
      <c r="F242" s="234" t="str">
        <f t="shared" si="28"/>
        <v/>
      </c>
      <c r="G242" s="234" t="str">
        <f t="shared" si="29"/>
        <v/>
      </c>
      <c r="H242" s="234" t="str">
        <f t="shared" si="30"/>
        <v/>
      </c>
      <c r="I242" s="234" t="str">
        <f t="shared" si="31"/>
        <v/>
      </c>
      <c r="J242" s="234" t="str">
        <f t="shared" si="32"/>
        <v/>
      </c>
      <c r="K242" s="234"/>
      <c r="L242" s="234"/>
      <c r="M242" s="234"/>
      <c r="N242" s="234"/>
      <c r="O242" s="234"/>
    </row>
    <row r="243" spans="2:15">
      <c r="B243" s="233" t="str">
        <f t="shared" si="33"/>
        <v/>
      </c>
      <c r="C243" s="243" t="str">
        <f t="shared" si="34"/>
        <v/>
      </c>
      <c r="D243" s="234" t="str">
        <f t="shared" si="35"/>
        <v/>
      </c>
      <c r="E243" s="234" t="str">
        <f t="shared" si="27"/>
        <v/>
      </c>
      <c r="F243" s="234" t="str">
        <f t="shared" si="28"/>
        <v/>
      </c>
      <c r="G243" s="234" t="str">
        <f t="shared" si="29"/>
        <v/>
      </c>
      <c r="H243" s="234" t="str">
        <f t="shared" si="30"/>
        <v/>
      </c>
      <c r="I243" s="234" t="str">
        <f t="shared" si="31"/>
        <v/>
      </c>
      <c r="J243" s="234" t="str">
        <f t="shared" si="32"/>
        <v/>
      </c>
      <c r="K243" s="234"/>
      <c r="L243" s="234"/>
      <c r="M243" s="234"/>
      <c r="N243" s="234"/>
      <c r="O243" s="234"/>
    </row>
    <row r="244" spans="2:15">
      <c r="B244" s="233" t="str">
        <f t="shared" si="33"/>
        <v/>
      </c>
      <c r="C244" s="243" t="str">
        <f t="shared" si="34"/>
        <v/>
      </c>
      <c r="D244" s="234" t="str">
        <f t="shared" si="35"/>
        <v/>
      </c>
      <c r="E244" s="234" t="str">
        <f t="shared" si="27"/>
        <v/>
      </c>
      <c r="F244" s="234" t="str">
        <f t="shared" si="28"/>
        <v/>
      </c>
      <c r="G244" s="234" t="str">
        <f t="shared" si="29"/>
        <v/>
      </c>
      <c r="H244" s="234" t="str">
        <f t="shared" si="30"/>
        <v/>
      </c>
      <c r="I244" s="234" t="str">
        <f t="shared" si="31"/>
        <v/>
      </c>
      <c r="J244" s="234" t="str">
        <f t="shared" si="32"/>
        <v/>
      </c>
      <c r="K244" s="234"/>
      <c r="L244" s="234"/>
      <c r="M244" s="234"/>
      <c r="N244" s="234"/>
      <c r="O244" s="234"/>
    </row>
    <row r="245" spans="2:15">
      <c r="B245" s="233" t="str">
        <f t="shared" si="33"/>
        <v/>
      </c>
      <c r="C245" s="243" t="str">
        <f t="shared" si="34"/>
        <v/>
      </c>
      <c r="D245" s="234" t="str">
        <f t="shared" si="35"/>
        <v/>
      </c>
      <c r="E245" s="234" t="str">
        <f t="shared" si="27"/>
        <v/>
      </c>
      <c r="F245" s="234" t="str">
        <f t="shared" si="28"/>
        <v/>
      </c>
      <c r="G245" s="234" t="str">
        <f t="shared" si="29"/>
        <v/>
      </c>
      <c r="H245" s="234" t="str">
        <f t="shared" si="30"/>
        <v/>
      </c>
      <c r="I245" s="234" t="str">
        <f t="shared" si="31"/>
        <v/>
      </c>
      <c r="J245" s="234" t="str">
        <f t="shared" si="32"/>
        <v/>
      </c>
      <c r="K245" s="234"/>
      <c r="L245" s="234"/>
      <c r="M245" s="234"/>
      <c r="N245" s="234"/>
      <c r="O245" s="234"/>
    </row>
    <row r="246" spans="2:15">
      <c r="B246" s="233" t="str">
        <f t="shared" si="33"/>
        <v/>
      </c>
      <c r="C246" s="243" t="str">
        <f t="shared" si="34"/>
        <v/>
      </c>
      <c r="D246" s="234" t="str">
        <f t="shared" si="35"/>
        <v/>
      </c>
      <c r="E246" s="234" t="str">
        <f t="shared" si="27"/>
        <v/>
      </c>
      <c r="F246" s="234" t="str">
        <f t="shared" si="28"/>
        <v/>
      </c>
      <c r="G246" s="234" t="str">
        <f t="shared" si="29"/>
        <v/>
      </c>
      <c r="H246" s="234" t="str">
        <f t="shared" si="30"/>
        <v/>
      </c>
      <c r="I246" s="234" t="str">
        <f t="shared" si="31"/>
        <v/>
      </c>
      <c r="J246" s="234" t="str">
        <f t="shared" si="32"/>
        <v/>
      </c>
      <c r="K246" s="234"/>
      <c r="L246" s="234"/>
      <c r="M246" s="234"/>
      <c r="N246" s="234"/>
      <c r="O246" s="234"/>
    </row>
    <row r="247" spans="2:15">
      <c r="B247" s="233" t="str">
        <f t="shared" si="33"/>
        <v/>
      </c>
      <c r="C247" s="243" t="str">
        <f t="shared" si="34"/>
        <v/>
      </c>
      <c r="D247" s="234" t="str">
        <f t="shared" si="35"/>
        <v/>
      </c>
      <c r="E247" s="234" t="str">
        <f t="shared" si="27"/>
        <v/>
      </c>
      <c r="F247" s="234" t="str">
        <f t="shared" si="28"/>
        <v/>
      </c>
      <c r="G247" s="234" t="str">
        <f t="shared" si="29"/>
        <v/>
      </c>
      <c r="H247" s="234" t="str">
        <f t="shared" si="30"/>
        <v/>
      </c>
      <c r="I247" s="234" t="str">
        <f t="shared" si="31"/>
        <v/>
      </c>
      <c r="J247" s="234" t="str">
        <f t="shared" si="32"/>
        <v/>
      </c>
      <c r="K247" s="234"/>
      <c r="L247" s="234"/>
      <c r="M247" s="234"/>
      <c r="N247" s="234"/>
      <c r="O247" s="234"/>
    </row>
    <row r="248" spans="2:15">
      <c r="B248" s="233" t="str">
        <f t="shared" si="33"/>
        <v/>
      </c>
      <c r="C248" s="243" t="str">
        <f t="shared" si="34"/>
        <v/>
      </c>
      <c r="D248" s="234" t="str">
        <f t="shared" si="35"/>
        <v/>
      </c>
      <c r="E248" s="234" t="str">
        <f t="shared" si="27"/>
        <v/>
      </c>
      <c r="F248" s="234" t="str">
        <f t="shared" si="28"/>
        <v/>
      </c>
      <c r="G248" s="234" t="str">
        <f t="shared" si="29"/>
        <v/>
      </c>
      <c r="H248" s="234" t="str">
        <f t="shared" si="30"/>
        <v/>
      </c>
      <c r="I248" s="234" t="str">
        <f t="shared" si="31"/>
        <v/>
      </c>
      <c r="J248" s="234" t="str">
        <f t="shared" si="32"/>
        <v/>
      </c>
      <c r="K248" s="234"/>
      <c r="L248" s="234"/>
      <c r="M248" s="234"/>
      <c r="N248" s="234"/>
      <c r="O248" s="234"/>
    </row>
    <row r="249" spans="2:15">
      <c r="B249" s="233" t="str">
        <f t="shared" si="33"/>
        <v/>
      </c>
      <c r="C249" s="243" t="str">
        <f t="shared" si="34"/>
        <v/>
      </c>
      <c r="D249" s="234" t="str">
        <f t="shared" si="35"/>
        <v/>
      </c>
      <c r="E249" s="234" t="str">
        <f t="shared" si="27"/>
        <v/>
      </c>
      <c r="F249" s="234" t="str">
        <f t="shared" si="28"/>
        <v/>
      </c>
      <c r="G249" s="234" t="str">
        <f t="shared" si="29"/>
        <v/>
      </c>
      <c r="H249" s="234" t="str">
        <f t="shared" si="30"/>
        <v/>
      </c>
      <c r="I249" s="234" t="str">
        <f t="shared" si="31"/>
        <v/>
      </c>
      <c r="J249" s="234" t="str">
        <f t="shared" si="32"/>
        <v/>
      </c>
      <c r="K249" s="234"/>
      <c r="L249" s="234"/>
      <c r="M249" s="234"/>
      <c r="N249" s="234"/>
      <c r="O249" s="234"/>
    </row>
    <row r="250" spans="2:15">
      <c r="B250" s="233" t="str">
        <f t="shared" si="33"/>
        <v/>
      </c>
      <c r="C250" s="243" t="str">
        <f t="shared" si="34"/>
        <v/>
      </c>
      <c r="D250" s="234" t="str">
        <f t="shared" si="35"/>
        <v/>
      </c>
      <c r="E250" s="234" t="str">
        <f t="shared" si="27"/>
        <v/>
      </c>
      <c r="F250" s="234" t="str">
        <f t="shared" si="28"/>
        <v/>
      </c>
      <c r="G250" s="234" t="str">
        <f t="shared" si="29"/>
        <v/>
      </c>
      <c r="H250" s="234" t="str">
        <f t="shared" si="30"/>
        <v/>
      </c>
      <c r="I250" s="234" t="str">
        <f t="shared" si="31"/>
        <v/>
      </c>
      <c r="J250" s="234" t="str">
        <f t="shared" si="32"/>
        <v/>
      </c>
      <c r="K250" s="234"/>
      <c r="L250" s="234"/>
      <c r="M250" s="234"/>
      <c r="N250" s="234"/>
      <c r="O250" s="234"/>
    </row>
    <row r="251" spans="2:15">
      <c r="B251" s="233" t="str">
        <f t="shared" si="33"/>
        <v/>
      </c>
      <c r="C251" s="243" t="str">
        <f t="shared" si="34"/>
        <v/>
      </c>
      <c r="D251" s="234" t="str">
        <f t="shared" si="35"/>
        <v/>
      </c>
      <c r="E251" s="234" t="str">
        <f t="shared" si="27"/>
        <v/>
      </c>
      <c r="F251" s="234" t="str">
        <f t="shared" si="28"/>
        <v/>
      </c>
      <c r="G251" s="234" t="str">
        <f t="shared" si="29"/>
        <v/>
      </c>
      <c r="H251" s="234" t="str">
        <f t="shared" si="30"/>
        <v/>
      </c>
      <c r="I251" s="234" t="str">
        <f t="shared" si="31"/>
        <v/>
      </c>
      <c r="J251" s="234" t="str">
        <f t="shared" si="32"/>
        <v/>
      </c>
      <c r="K251" s="234"/>
      <c r="L251" s="234"/>
      <c r="M251" s="234"/>
      <c r="N251" s="234"/>
      <c r="O251" s="234"/>
    </row>
    <row r="252" spans="2:15">
      <c r="B252" s="233" t="str">
        <f t="shared" si="33"/>
        <v/>
      </c>
      <c r="C252" s="243" t="str">
        <f t="shared" si="34"/>
        <v/>
      </c>
      <c r="D252" s="234" t="str">
        <f t="shared" si="35"/>
        <v/>
      </c>
      <c r="E252" s="234" t="str">
        <f t="shared" si="27"/>
        <v/>
      </c>
      <c r="F252" s="234" t="str">
        <f t="shared" si="28"/>
        <v/>
      </c>
      <c r="G252" s="234" t="str">
        <f t="shared" si="29"/>
        <v/>
      </c>
      <c r="H252" s="234" t="str">
        <f t="shared" si="30"/>
        <v/>
      </c>
      <c r="I252" s="234" t="str">
        <f t="shared" si="31"/>
        <v/>
      </c>
      <c r="J252" s="234" t="str">
        <f t="shared" si="32"/>
        <v/>
      </c>
      <c r="K252" s="234"/>
      <c r="L252" s="234"/>
      <c r="M252" s="234"/>
      <c r="N252" s="234"/>
      <c r="O252" s="234"/>
    </row>
    <row r="253" spans="2:15">
      <c r="B253" s="233" t="str">
        <f t="shared" si="33"/>
        <v/>
      </c>
      <c r="C253" s="243" t="str">
        <f t="shared" si="34"/>
        <v/>
      </c>
      <c r="D253" s="234" t="str">
        <f t="shared" si="35"/>
        <v/>
      </c>
      <c r="E253" s="234" t="str">
        <f t="shared" si="27"/>
        <v/>
      </c>
      <c r="F253" s="234" t="str">
        <f t="shared" si="28"/>
        <v/>
      </c>
      <c r="G253" s="234" t="str">
        <f t="shared" si="29"/>
        <v/>
      </c>
      <c r="H253" s="234" t="str">
        <f t="shared" si="30"/>
        <v/>
      </c>
      <c r="I253" s="234" t="str">
        <f t="shared" si="31"/>
        <v/>
      </c>
      <c r="J253" s="234" t="str">
        <f t="shared" si="32"/>
        <v/>
      </c>
      <c r="K253" s="234"/>
      <c r="L253" s="234"/>
      <c r="M253" s="234"/>
      <c r="N253" s="234"/>
      <c r="O253" s="234"/>
    </row>
    <row r="254" spans="2:15">
      <c r="B254" s="233" t="str">
        <f t="shared" si="33"/>
        <v/>
      </c>
      <c r="C254" s="243" t="str">
        <f t="shared" si="34"/>
        <v/>
      </c>
      <c r="D254" s="234" t="str">
        <f t="shared" si="35"/>
        <v/>
      </c>
      <c r="E254" s="234" t="str">
        <f t="shared" si="27"/>
        <v/>
      </c>
      <c r="F254" s="234" t="str">
        <f t="shared" si="28"/>
        <v/>
      </c>
      <c r="G254" s="234" t="str">
        <f t="shared" si="29"/>
        <v/>
      </c>
      <c r="H254" s="234" t="str">
        <f t="shared" si="30"/>
        <v/>
      </c>
      <c r="I254" s="234" t="str">
        <f t="shared" si="31"/>
        <v/>
      </c>
      <c r="J254" s="234" t="str">
        <f t="shared" si="32"/>
        <v/>
      </c>
      <c r="K254" s="234"/>
      <c r="L254" s="234"/>
      <c r="M254" s="234"/>
      <c r="N254" s="234"/>
      <c r="O254" s="234"/>
    </row>
    <row r="255" spans="2:15">
      <c r="B255" s="233" t="str">
        <f t="shared" si="33"/>
        <v/>
      </c>
      <c r="C255" s="243" t="str">
        <f t="shared" si="34"/>
        <v/>
      </c>
      <c r="D255" s="234" t="str">
        <f t="shared" si="35"/>
        <v/>
      </c>
      <c r="E255" s="234" t="str">
        <f t="shared" si="27"/>
        <v/>
      </c>
      <c r="F255" s="234" t="str">
        <f t="shared" si="28"/>
        <v/>
      </c>
      <c r="G255" s="234" t="str">
        <f t="shared" si="29"/>
        <v/>
      </c>
      <c r="H255" s="234" t="str">
        <f t="shared" si="30"/>
        <v/>
      </c>
      <c r="I255" s="234" t="str">
        <f t="shared" si="31"/>
        <v/>
      </c>
      <c r="J255" s="234" t="str">
        <f t="shared" si="32"/>
        <v/>
      </c>
      <c r="K255" s="234"/>
      <c r="L255" s="234"/>
      <c r="M255" s="234"/>
      <c r="N255" s="234"/>
      <c r="O255" s="234"/>
    </row>
    <row r="256" spans="2:15">
      <c r="B256" s="233" t="str">
        <f t="shared" si="33"/>
        <v/>
      </c>
      <c r="C256" s="243" t="str">
        <f t="shared" si="34"/>
        <v/>
      </c>
      <c r="D256" s="234" t="str">
        <f t="shared" si="35"/>
        <v/>
      </c>
      <c r="E256" s="234" t="str">
        <f t="shared" si="27"/>
        <v/>
      </c>
      <c r="F256" s="234" t="str">
        <f t="shared" si="28"/>
        <v/>
      </c>
      <c r="G256" s="234" t="str">
        <f t="shared" si="29"/>
        <v/>
      </c>
      <c r="H256" s="234" t="str">
        <f t="shared" si="30"/>
        <v/>
      </c>
      <c r="I256" s="234" t="str">
        <f t="shared" si="31"/>
        <v/>
      </c>
      <c r="J256" s="234" t="str">
        <f t="shared" si="32"/>
        <v/>
      </c>
      <c r="K256" s="234"/>
      <c r="L256" s="234"/>
      <c r="M256" s="234"/>
      <c r="N256" s="234"/>
      <c r="O256" s="234"/>
    </row>
    <row r="257" spans="2:15">
      <c r="B257" s="233" t="str">
        <f t="shared" si="33"/>
        <v/>
      </c>
      <c r="C257" s="243" t="str">
        <f t="shared" si="34"/>
        <v/>
      </c>
      <c r="D257" s="234" t="str">
        <f t="shared" si="35"/>
        <v/>
      </c>
      <c r="E257" s="234" t="str">
        <f t="shared" si="27"/>
        <v/>
      </c>
      <c r="F257" s="234" t="str">
        <f t="shared" si="28"/>
        <v/>
      </c>
      <c r="G257" s="234" t="str">
        <f t="shared" si="29"/>
        <v/>
      </c>
      <c r="H257" s="234" t="str">
        <f t="shared" si="30"/>
        <v/>
      </c>
      <c r="I257" s="234" t="str">
        <f t="shared" si="31"/>
        <v/>
      </c>
      <c r="J257" s="234" t="str">
        <f t="shared" si="32"/>
        <v/>
      </c>
      <c r="K257" s="234"/>
      <c r="L257" s="234"/>
      <c r="M257" s="234"/>
      <c r="N257" s="234"/>
      <c r="O257" s="234"/>
    </row>
    <row r="258" spans="2:15">
      <c r="B258" s="233" t="str">
        <f t="shared" si="33"/>
        <v/>
      </c>
      <c r="C258" s="243" t="str">
        <f t="shared" si="34"/>
        <v/>
      </c>
      <c r="D258" s="234" t="str">
        <f t="shared" si="35"/>
        <v/>
      </c>
      <c r="E258" s="234" t="str">
        <f t="shared" si="27"/>
        <v/>
      </c>
      <c r="F258" s="234" t="str">
        <f t="shared" si="28"/>
        <v/>
      </c>
      <c r="G258" s="234" t="str">
        <f t="shared" si="29"/>
        <v/>
      </c>
      <c r="H258" s="234" t="str">
        <f t="shared" si="30"/>
        <v/>
      </c>
      <c r="I258" s="234" t="str">
        <f t="shared" si="31"/>
        <v/>
      </c>
      <c r="J258" s="234" t="str">
        <f t="shared" si="32"/>
        <v/>
      </c>
      <c r="K258" s="234"/>
      <c r="L258" s="234"/>
      <c r="M258" s="234"/>
      <c r="N258" s="234"/>
      <c r="O258" s="234"/>
    </row>
    <row r="259" spans="2:15">
      <c r="B259" s="233" t="str">
        <f t="shared" si="33"/>
        <v/>
      </c>
      <c r="C259" s="243" t="str">
        <f t="shared" si="34"/>
        <v/>
      </c>
      <c r="D259" s="234" t="str">
        <f t="shared" si="35"/>
        <v/>
      </c>
      <c r="E259" s="234" t="str">
        <f t="shared" si="27"/>
        <v/>
      </c>
      <c r="F259" s="234" t="str">
        <f t="shared" si="28"/>
        <v/>
      </c>
      <c r="G259" s="234" t="str">
        <f t="shared" si="29"/>
        <v/>
      </c>
      <c r="H259" s="234" t="str">
        <f t="shared" si="30"/>
        <v/>
      </c>
      <c r="I259" s="234" t="str">
        <f t="shared" si="31"/>
        <v/>
      </c>
      <c r="J259" s="234" t="str">
        <f t="shared" si="32"/>
        <v/>
      </c>
      <c r="K259" s="234"/>
      <c r="L259" s="234"/>
      <c r="M259" s="234"/>
      <c r="N259" s="234"/>
      <c r="O259" s="234"/>
    </row>
    <row r="260" spans="2:15">
      <c r="B260" s="233" t="str">
        <f t="shared" si="33"/>
        <v/>
      </c>
      <c r="C260" s="243" t="str">
        <f t="shared" si="34"/>
        <v/>
      </c>
      <c r="D260" s="234" t="str">
        <f t="shared" si="35"/>
        <v/>
      </c>
      <c r="E260" s="234" t="str">
        <f t="shared" si="27"/>
        <v/>
      </c>
      <c r="F260" s="234" t="str">
        <f t="shared" si="28"/>
        <v/>
      </c>
      <c r="G260" s="234" t="str">
        <f t="shared" si="29"/>
        <v/>
      </c>
      <c r="H260" s="234" t="str">
        <f t="shared" si="30"/>
        <v/>
      </c>
      <c r="I260" s="234" t="str">
        <f t="shared" si="31"/>
        <v/>
      </c>
      <c r="J260" s="234" t="str">
        <f t="shared" si="32"/>
        <v/>
      </c>
      <c r="K260" s="234"/>
      <c r="L260" s="234"/>
      <c r="M260" s="234"/>
      <c r="N260" s="234"/>
      <c r="O260" s="234"/>
    </row>
    <row r="261" spans="2:15">
      <c r="B261" s="233" t="str">
        <f t="shared" si="33"/>
        <v/>
      </c>
      <c r="C261" s="243" t="str">
        <f t="shared" si="34"/>
        <v/>
      </c>
      <c r="D261" s="234" t="str">
        <f t="shared" si="35"/>
        <v/>
      </c>
      <c r="E261" s="234" t="str">
        <f t="shared" si="27"/>
        <v/>
      </c>
      <c r="F261" s="234" t="str">
        <f t="shared" si="28"/>
        <v/>
      </c>
      <c r="G261" s="234" t="str">
        <f t="shared" si="29"/>
        <v/>
      </c>
      <c r="H261" s="234" t="str">
        <f t="shared" si="30"/>
        <v/>
      </c>
      <c r="I261" s="234" t="str">
        <f t="shared" si="31"/>
        <v/>
      </c>
      <c r="J261" s="234" t="str">
        <f t="shared" si="32"/>
        <v/>
      </c>
      <c r="K261" s="234"/>
      <c r="L261" s="234"/>
      <c r="M261" s="234"/>
      <c r="N261" s="234"/>
      <c r="O261" s="234"/>
    </row>
    <row r="262" spans="2:15">
      <c r="B262" s="233" t="str">
        <f t="shared" si="33"/>
        <v/>
      </c>
      <c r="C262" s="243" t="str">
        <f t="shared" si="34"/>
        <v/>
      </c>
      <c r="D262" s="234" t="str">
        <f t="shared" si="35"/>
        <v/>
      </c>
      <c r="E262" s="234" t="str">
        <f t="shared" si="27"/>
        <v/>
      </c>
      <c r="F262" s="234" t="str">
        <f t="shared" si="28"/>
        <v/>
      </c>
      <c r="G262" s="234" t="str">
        <f t="shared" si="29"/>
        <v/>
      </c>
      <c r="H262" s="234" t="str">
        <f t="shared" si="30"/>
        <v/>
      </c>
      <c r="I262" s="234" t="str">
        <f t="shared" si="31"/>
        <v/>
      </c>
      <c r="J262" s="234" t="str">
        <f t="shared" si="32"/>
        <v/>
      </c>
      <c r="K262" s="234"/>
      <c r="L262" s="234"/>
      <c r="M262" s="234"/>
      <c r="N262" s="234"/>
      <c r="O262" s="234"/>
    </row>
    <row r="263" spans="2:15">
      <c r="B263" s="233" t="str">
        <f t="shared" si="33"/>
        <v/>
      </c>
      <c r="C263" s="243" t="str">
        <f t="shared" si="34"/>
        <v/>
      </c>
      <c r="D263" s="234" t="str">
        <f t="shared" si="35"/>
        <v/>
      </c>
      <c r="E263" s="234" t="str">
        <f t="shared" si="27"/>
        <v/>
      </c>
      <c r="F263" s="234" t="str">
        <f t="shared" si="28"/>
        <v/>
      </c>
      <c r="G263" s="234" t="str">
        <f t="shared" si="29"/>
        <v/>
      </c>
      <c r="H263" s="234" t="str">
        <f t="shared" si="30"/>
        <v/>
      </c>
      <c r="I263" s="234" t="str">
        <f t="shared" si="31"/>
        <v/>
      </c>
      <c r="J263" s="234" t="str">
        <f t="shared" si="32"/>
        <v/>
      </c>
      <c r="K263" s="234"/>
      <c r="L263" s="234"/>
      <c r="M263" s="234"/>
      <c r="N263" s="234"/>
      <c r="O263" s="234"/>
    </row>
    <row r="264" spans="2:15">
      <c r="B264" s="233" t="str">
        <f t="shared" si="33"/>
        <v/>
      </c>
      <c r="C264" s="243" t="str">
        <f t="shared" si="34"/>
        <v/>
      </c>
      <c r="D264" s="234" t="str">
        <f t="shared" si="35"/>
        <v/>
      </c>
      <c r="E264" s="234" t="str">
        <f t="shared" si="27"/>
        <v/>
      </c>
      <c r="F264" s="234" t="str">
        <f t="shared" si="28"/>
        <v/>
      </c>
      <c r="G264" s="234" t="str">
        <f t="shared" si="29"/>
        <v/>
      </c>
      <c r="H264" s="234" t="str">
        <f t="shared" si="30"/>
        <v/>
      </c>
      <c r="I264" s="234" t="str">
        <f t="shared" si="31"/>
        <v/>
      </c>
      <c r="J264" s="234" t="str">
        <f t="shared" si="32"/>
        <v/>
      </c>
      <c r="K264" s="234"/>
      <c r="L264" s="234"/>
      <c r="M264" s="234"/>
      <c r="N264" s="234"/>
      <c r="O264" s="234"/>
    </row>
    <row r="265" spans="2:15">
      <c r="B265" s="233" t="str">
        <f t="shared" si="33"/>
        <v/>
      </c>
      <c r="C265" s="243" t="str">
        <f t="shared" si="34"/>
        <v/>
      </c>
      <c r="D265" s="234" t="str">
        <f t="shared" si="35"/>
        <v/>
      </c>
      <c r="E265" s="234" t="str">
        <f t="shared" si="27"/>
        <v/>
      </c>
      <c r="F265" s="234" t="str">
        <f t="shared" si="28"/>
        <v/>
      </c>
      <c r="G265" s="234" t="str">
        <f t="shared" si="29"/>
        <v/>
      </c>
      <c r="H265" s="234" t="str">
        <f t="shared" si="30"/>
        <v/>
      </c>
      <c r="I265" s="234" t="str">
        <f t="shared" si="31"/>
        <v/>
      </c>
      <c r="J265" s="234" t="str">
        <f t="shared" si="32"/>
        <v/>
      </c>
      <c r="K265" s="234"/>
      <c r="L265" s="234"/>
      <c r="M265" s="234"/>
      <c r="N265" s="234"/>
      <c r="O265" s="234"/>
    </row>
    <row r="266" spans="2:15">
      <c r="B266" s="233" t="str">
        <f t="shared" si="33"/>
        <v/>
      </c>
      <c r="C266" s="243" t="str">
        <f t="shared" si="34"/>
        <v/>
      </c>
      <c r="D266" s="234" t="str">
        <f t="shared" si="35"/>
        <v/>
      </c>
      <c r="E266" s="234" t="str">
        <f t="shared" si="27"/>
        <v/>
      </c>
      <c r="F266" s="234" t="str">
        <f t="shared" si="28"/>
        <v/>
      </c>
      <c r="G266" s="234" t="str">
        <f t="shared" si="29"/>
        <v/>
      </c>
      <c r="H266" s="234" t="str">
        <f t="shared" si="30"/>
        <v/>
      </c>
      <c r="I266" s="234" t="str">
        <f t="shared" si="31"/>
        <v/>
      </c>
      <c r="J266" s="234" t="str">
        <f t="shared" si="32"/>
        <v/>
      </c>
      <c r="K266" s="234"/>
      <c r="L266" s="234"/>
      <c r="M266" s="234"/>
      <c r="N266" s="234"/>
      <c r="O266" s="234"/>
    </row>
    <row r="267" spans="2:15">
      <c r="B267" s="233" t="str">
        <f t="shared" si="33"/>
        <v/>
      </c>
      <c r="C267" s="243" t="str">
        <f t="shared" si="34"/>
        <v/>
      </c>
      <c r="D267" s="234" t="str">
        <f t="shared" si="35"/>
        <v/>
      </c>
      <c r="E267" s="234" t="str">
        <f t="shared" si="27"/>
        <v/>
      </c>
      <c r="F267" s="234" t="str">
        <f t="shared" si="28"/>
        <v/>
      </c>
      <c r="G267" s="234" t="str">
        <f t="shared" si="29"/>
        <v/>
      </c>
      <c r="H267" s="234" t="str">
        <f t="shared" si="30"/>
        <v/>
      </c>
      <c r="I267" s="234" t="str">
        <f t="shared" si="31"/>
        <v/>
      </c>
      <c r="J267" s="234" t="str">
        <f t="shared" si="32"/>
        <v/>
      </c>
      <c r="K267" s="234"/>
      <c r="L267" s="234"/>
      <c r="M267" s="234"/>
      <c r="N267" s="234"/>
      <c r="O267" s="234"/>
    </row>
    <row r="268" spans="2:15">
      <c r="B268" s="233" t="str">
        <f t="shared" si="33"/>
        <v/>
      </c>
      <c r="C268" s="243" t="str">
        <f t="shared" si="34"/>
        <v/>
      </c>
      <c r="D268" s="234" t="str">
        <f t="shared" si="35"/>
        <v/>
      </c>
      <c r="E268" s="234" t="str">
        <f t="shared" si="27"/>
        <v/>
      </c>
      <c r="F268" s="234" t="str">
        <f t="shared" si="28"/>
        <v/>
      </c>
      <c r="G268" s="234" t="str">
        <f t="shared" si="29"/>
        <v/>
      </c>
      <c r="H268" s="234" t="str">
        <f t="shared" si="30"/>
        <v/>
      </c>
      <c r="I268" s="234" t="str">
        <f t="shared" si="31"/>
        <v/>
      </c>
      <c r="J268" s="234" t="str">
        <f t="shared" si="32"/>
        <v/>
      </c>
      <c r="K268" s="234"/>
      <c r="L268" s="234"/>
      <c r="M268" s="234"/>
      <c r="N268" s="234"/>
      <c r="O268" s="234"/>
    </row>
    <row r="269" spans="2:15">
      <c r="B269" s="233" t="str">
        <f t="shared" si="33"/>
        <v/>
      </c>
      <c r="C269" s="243" t="str">
        <f t="shared" si="34"/>
        <v/>
      </c>
      <c r="D269" s="234" t="str">
        <f t="shared" si="35"/>
        <v/>
      </c>
      <c r="E269" s="234" t="str">
        <f t="shared" si="27"/>
        <v/>
      </c>
      <c r="F269" s="234" t="str">
        <f t="shared" si="28"/>
        <v/>
      </c>
      <c r="G269" s="234" t="str">
        <f t="shared" si="29"/>
        <v/>
      </c>
      <c r="H269" s="234" t="str">
        <f t="shared" si="30"/>
        <v/>
      </c>
      <c r="I269" s="234" t="str">
        <f t="shared" si="31"/>
        <v/>
      </c>
      <c r="J269" s="234" t="str">
        <f t="shared" si="32"/>
        <v/>
      </c>
      <c r="K269" s="234"/>
      <c r="L269" s="234"/>
      <c r="M269" s="234"/>
      <c r="N269" s="234"/>
      <c r="O269" s="234"/>
    </row>
    <row r="270" spans="2:15">
      <c r="B270" s="233" t="str">
        <f t="shared" si="33"/>
        <v/>
      </c>
      <c r="C270" s="243" t="str">
        <f t="shared" si="34"/>
        <v/>
      </c>
      <c r="D270" s="234" t="str">
        <f t="shared" si="35"/>
        <v/>
      </c>
      <c r="E270" s="234" t="str">
        <f t="shared" si="27"/>
        <v/>
      </c>
      <c r="F270" s="234" t="str">
        <f t="shared" si="28"/>
        <v/>
      </c>
      <c r="G270" s="234" t="str">
        <f t="shared" si="29"/>
        <v/>
      </c>
      <c r="H270" s="234" t="str">
        <f t="shared" si="30"/>
        <v/>
      </c>
      <c r="I270" s="234" t="str">
        <f t="shared" si="31"/>
        <v/>
      </c>
      <c r="J270" s="234" t="str">
        <f t="shared" si="32"/>
        <v/>
      </c>
      <c r="K270" s="234"/>
      <c r="L270" s="234"/>
      <c r="M270" s="234"/>
      <c r="N270" s="234"/>
      <c r="O270" s="234"/>
    </row>
    <row r="271" spans="2:15">
      <c r="B271" s="233" t="str">
        <f t="shared" si="33"/>
        <v/>
      </c>
      <c r="C271" s="243" t="str">
        <f t="shared" si="34"/>
        <v/>
      </c>
      <c r="D271" s="234" t="str">
        <f t="shared" si="35"/>
        <v/>
      </c>
      <c r="E271" s="234" t="str">
        <f t="shared" si="27"/>
        <v/>
      </c>
      <c r="F271" s="234" t="str">
        <f t="shared" si="28"/>
        <v/>
      </c>
      <c r="G271" s="234" t="str">
        <f t="shared" si="29"/>
        <v/>
      </c>
      <c r="H271" s="234" t="str">
        <f t="shared" si="30"/>
        <v/>
      </c>
      <c r="I271" s="234" t="str">
        <f t="shared" si="31"/>
        <v/>
      </c>
      <c r="J271" s="234" t="str">
        <f t="shared" si="32"/>
        <v/>
      </c>
      <c r="K271" s="234"/>
      <c r="L271" s="234"/>
      <c r="M271" s="234"/>
      <c r="N271" s="234"/>
      <c r="O271" s="234"/>
    </row>
    <row r="272" spans="2:15">
      <c r="B272" s="233" t="str">
        <f t="shared" si="33"/>
        <v/>
      </c>
      <c r="C272" s="243" t="str">
        <f t="shared" si="34"/>
        <v/>
      </c>
      <c r="D272" s="234" t="str">
        <f t="shared" si="35"/>
        <v/>
      </c>
      <c r="E272" s="234" t="str">
        <f t="shared" si="27"/>
        <v/>
      </c>
      <c r="F272" s="234" t="str">
        <f t="shared" si="28"/>
        <v/>
      </c>
      <c r="G272" s="234" t="str">
        <f t="shared" si="29"/>
        <v/>
      </c>
      <c r="H272" s="234" t="str">
        <f t="shared" si="30"/>
        <v/>
      </c>
      <c r="I272" s="234" t="str">
        <f t="shared" si="31"/>
        <v/>
      </c>
      <c r="J272" s="234" t="str">
        <f t="shared" si="32"/>
        <v/>
      </c>
      <c r="K272" s="234"/>
      <c r="L272" s="234"/>
      <c r="M272" s="234"/>
      <c r="N272" s="234"/>
      <c r="O272" s="234"/>
    </row>
    <row r="273" spans="2:15">
      <c r="B273" s="233" t="str">
        <f t="shared" si="33"/>
        <v/>
      </c>
      <c r="C273" s="243" t="str">
        <f t="shared" si="34"/>
        <v/>
      </c>
      <c r="D273" s="234" t="str">
        <f t="shared" si="35"/>
        <v/>
      </c>
      <c r="E273" s="234" t="str">
        <f t="shared" si="27"/>
        <v/>
      </c>
      <c r="F273" s="234" t="str">
        <f t="shared" si="28"/>
        <v/>
      </c>
      <c r="G273" s="234" t="str">
        <f t="shared" si="29"/>
        <v/>
      </c>
      <c r="H273" s="234" t="str">
        <f t="shared" si="30"/>
        <v/>
      </c>
      <c r="I273" s="234" t="str">
        <f t="shared" si="31"/>
        <v/>
      </c>
      <c r="J273" s="234" t="str">
        <f t="shared" si="32"/>
        <v/>
      </c>
      <c r="K273" s="234"/>
      <c r="L273" s="234"/>
      <c r="M273" s="234"/>
      <c r="N273" s="234"/>
      <c r="O273" s="234"/>
    </row>
    <row r="274" spans="2:15">
      <c r="B274" s="233" t="str">
        <f t="shared" si="33"/>
        <v/>
      </c>
      <c r="C274" s="243" t="str">
        <f t="shared" si="34"/>
        <v/>
      </c>
      <c r="D274" s="234" t="str">
        <f t="shared" si="35"/>
        <v/>
      </c>
      <c r="E274" s="234" t="str">
        <f t="shared" si="27"/>
        <v/>
      </c>
      <c r="F274" s="234" t="str">
        <f t="shared" si="28"/>
        <v/>
      </c>
      <c r="G274" s="234" t="str">
        <f t="shared" si="29"/>
        <v/>
      </c>
      <c r="H274" s="234" t="str">
        <f t="shared" si="30"/>
        <v/>
      </c>
      <c r="I274" s="234" t="str">
        <f t="shared" si="31"/>
        <v/>
      </c>
      <c r="J274" s="234" t="str">
        <f t="shared" si="32"/>
        <v/>
      </c>
      <c r="K274" s="234"/>
      <c r="L274" s="234"/>
      <c r="M274" s="234"/>
      <c r="N274" s="234"/>
      <c r="O274" s="234"/>
    </row>
    <row r="275" spans="2:15">
      <c r="B275" s="233" t="str">
        <f t="shared" si="33"/>
        <v/>
      </c>
      <c r="C275" s="243" t="str">
        <f t="shared" si="34"/>
        <v/>
      </c>
      <c r="D275" s="234" t="str">
        <f t="shared" si="35"/>
        <v/>
      </c>
      <c r="E275" s="234" t="str">
        <f t="shared" si="27"/>
        <v/>
      </c>
      <c r="F275" s="234" t="str">
        <f t="shared" si="28"/>
        <v/>
      </c>
      <c r="G275" s="234" t="str">
        <f t="shared" si="29"/>
        <v/>
      </c>
      <c r="H275" s="234" t="str">
        <f t="shared" si="30"/>
        <v/>
      </c>
      <c r="I275" s="234" t="str">
        <f t="shared" si="31"/>
        <v/>
      </c>
      <c r="J275" s="234" t="str">
        <f t="shared" si="32"/>
        <v/>
      </c>
      <c r="K275" s="234"/>
      <c r="L275" s="234"/>
      <c r="M275" s="234"/>
      <c r="N275" s="234"/>
      <c r="O275" s="234"/>
    </row>
    <row r="276" spans="2:15">
      <c r="B276" s="233" t="str">
        <f t="shared" si="33"/>
        <v/>
      </c>
      <c r="C276" s="243" t="str">
        <f t="shared" si="34"/>
        <v/>
      </c>
      <c r="D276" s="234" t="str">
        <f t="shared" si="35"/>
        <v/>
      </c>
      <c r="E276" s="234" t="str">
        <f t="shared" si="27"/>
        <v/>
      </c>
      <c r="F276" s="234" t="str">
        <f t="shared" si="28"/>
        <v/>
      </c>
      <c r="G276" s="234" t="str">
        <f t="shared" si="29"/>
        <v/>
      </c>
      <c r="H276" s="234" t="str">
        <f t="shared" si="30"/>
        <v/>
      </c>
      <c r="I276" s="234" t="str">
        <f t="shared" si="31"/>
        <v/>
      </c>
      <c r="J276" s="234" t="str">
        <f t="shared" si="32"/>
        <v/>
      </c>
      <c r="K276" s="234"/>
      <c r="L276" s="234"/>
      <c r="M276" s="234"/>
      <c r="N276" s="234"/>
      <c r="O276" s="234"/>
    </row>
    <row r="277" spans="2:15">
      <c r="B277" s="233" t="str">
        <f t="shared" si="33"/>
        <v/>
      </c>
      <c r="C277" s="243" t="str">
        <f t="shared" si="34"/>
        <v/>
      </c>
      <c r="D277" s="234" t="str">
        <f t="shared" si="35"/>
        <v/>
      </c>
      <c r="E277" s="234" t="str">
        <f t="shared" si="27"/>
        <v/>
      </c>
      <c r="F277" s="234" t="str">
        <f t="shared" si="28"/>
        <v/>
      </c>
      <c r="G277" s="234" t="str">
        <f t="shared" si="29"/>
        <v/>
      </c>
      <c r="H277" s="234" t="str">
        <f t="shared" si="30"/>
        <v/>
      </c>
      <c r="I277" s="234" t="str">
        <f t="shared" si="31"/>
        <v/>
      </c>
      <c r="J277" s="234" t="str">
        <f t="shared" si="32"/>
        <v/>
      </c>
      <c r="K277" s="234"/>
      <c r="L277" s="234"/>
      <c r="M277" s="234"/>
      <c r="N277" s="234"/>
      <c r="O277" s="234"/>
    </row>
    <row r="278" spans="2:15">
      <c r="B278" s="233" t="str">
        <f t="shared" si="33"/>
        <v/>
      </c>
      <c r="C278" s="243" t="str">
        <f t="shared" si="34"/>
        <v/>
      </c>
      <c r="D278" s="234" t="str">
        <f t="shared" si="35"/>
        <v/>
      </c>
      <c r="E278" s="234" t="str">
        <f t="shared" si="27"/>
        <v/>
      </c>
      <c r="F278" s="234" t="str">
        <f t="shared" si="28"/>
        <v/>
      </c>
      <c r="G278" s="234" t="str">
        <f t="shared" si="29"/>
        <v/>
      </c>
      <c r="H278" s="234" t="str">
        <f t="shared" si="30"/>
        <v/>
      </c>
      <c r="I278" s="234" t="str">
        <f t="shared" si="31"/>
        <v/>
      </c>
      <c r="J278" s="234" t="str">
        <f t="shared" si="32"/>
        <v/>
      </c>
      <c r="K278" s="234"/>
      <c r="L278" s="234"/>
      <c r="M278" s="234"/>
      <c r="N278" s="234"/>
      <c r="O278" s="234"/>
    </row>
    <row r="279" spans="2:15">
      <c r="B279" s="233" t="str">
        <f t="shared" si="33"/>
        <v/>
      </c>
      <c r="C279" s="243" t="str">
        <f t="shared" si="34"/>
        <v/>
      </c>
      <c r="D279" s="234" t="str">
        <f t="shared" si="35"/>
        <v/>
      </c>
      <c r="E279" s="234" t="str">
        <f t="shared" si="27"/>
        <v/>
      </c>
      <c r="F279" s="234" t="str">
        <f t="shared" si="28"/>
        <v/>
      </c>
      <c r="G279" s="234" t="str">
        <f t="shared" si="29"/>
        <v/>
      </c>
      <c r="H279" s="234" t="str">
        <f t="shared" si="30"/>
        <v/>
      </c>
      <c r="I279" s="234" t="str">
        <f t="shared" si="31"/>
        <v/>
      </c>
      <c r="J279" s="234" t="str">
        <f t="shared" si="32"/>
        <v/>
      </c>
      <c r="K279" s="234"/>
      <c r="L279" s="234"/>
      <c r="M279" s="234"/>
      <c r="N279" s="234"/>
      <c r="O279" s="234"/>
    </row>
    <row r="280" spans="2:15">
      <c r="B280" s="233" t="str">
        <f t="shared" si="33"/>
        <v/>
      </c>
      <c r="C280" s="243" t="str">
        <f t="shared" si="34"/>
        <v/>
      </c>
      <c r="D280" s="234" t="str">
        <f t="shared" si="35"/>
        <v/>
      </c>
      <c r="E280" s="234" t="str">
        <f t="shared" si="27"/>
        <v/>
      </c>
      <c r="F280" s="234" t="str">
        <f t="shared" si="28"/>
        <v/>
      </c>
      <c r="G280" s="234" t="str">
        <f t="shared" si="29"/>
        <v/>
      </c>
      <c r="H280" s="234" t="str">
        <f t="shared" si="30"/>
        <v/>
      </c>
      <c r="I280" s="234" t="str">
        <f t="shared" si="31"/>
        <v/>
      </c>
      <c r="J280" s="234" t="str">
        <f t="shared" si="32"/>
        <v/>
      </c>
      <c r="K280" s="234"/>
      <c r="L280" s="234"/>
      <c r="M280" s="234"/>
      <c r="N280" s="234"/>
      <c r="O280" s="234"/>
    </row>
    <row r="281" spans="2:15">
      <c r="B281" s="233" t="str">
        <f t="shared" si="33"/>
        <v/>
      </c>
      <c r="C281" s="243" t="str">
        <f t="shared" si="34"/>
        <v/>
      </c>
      <c r="D281" s="234" t="str">
        <f t="shared" si="35"/>
        <v/>
      </c>
      <c r="E281" s="234" t="str">
        <f t="shared" ref="E281:E344" si="36">IF(B281&lt;&gt;"",$E$17,"")</f>
        <v/>
      </c>
      <c r="F281" s="234" t="str">
        <f t="shared" ref="F281:F344" si="37">IF(B281&lt;&gt;"",$E$13,"")</f>
        <v/>
      </c>
      <c r="G281" s="234" t="str">
        <f t="shared" ref="G281:G344" si="38">IF(B281&lt;&gt;"",E281+F281,"")</f>
        <v/>
      </c>
      <c r="H281" s="234" t="str">
        <f t="shared" ref="H281:H344" si="39">IF(B281&lt;&gt;"",E281+F281-I281,"")</f>
        <v/>
      </c>
      <c r="I281" s="234" t="str">
        <f t="shared" ref="I281:I344" si="40">IF(B281&lt;&gt;"",D281*$E$10/12,"")</f>
        <v/>
      </c>
      <c r="J281" s="234" t="str">
        <f t="shared" ref="J281:J344" si="41">IF(B281&lt;&gt;"",D281-H281,"")</f>
        <v/>
      </c>
      <c r="K281" s="234"/>
      <c r="L281" s="234"/>
      <c r="M281" s="234"/>
      <c r="N281" s="234"/>
      <c r="O281" s="234"/>
    </row>
    <row r="282" spans="2:15">
      <c r="B282" s="233" t="str">
        <f t="shared" ref="B282:B345" si="42">IF(OR(ISERROR(IF(B281+1&lt;=$E$18,B281+1,"")),J281&lt;=0),"",IF(B281+1&lt;=$E$18,B281+1,""))</f>
        <v/>
      </c>
      <c r="C282" s="243" t="str">
        <f t="shared" ref="C282:C345" si="43">IF(B282&lt;&gt;"",DATE(YEAR(C281),MONTH(C281)+1,DAY(C281)),"")</f>
        <v/>
      </c>
      <c r="D282" s="234" t="str">
        <f t="shared" ref="D282:D345" si="44">IF(B282&lt;&gt;"",J281,"")</f>
        <v/>
      </c>
      <c r="E282" s="234" t="str">
        <f t="shared" si="36"/>
        <v/>
      </c>
      <c r="F282" s="234" t="str">
        <f t="shared" si="37"/>
        <v/>
      </c>
      <c r="G282" s="234" t="str">
        <f t="shared" si="38"/>
        <v/>
      </c>
      <c r="H282" s="234" t="str">
        <f t="shared" si="39"/>
        <v/>
      </c>
      <c r="I282" s="234" t="str">
        <f t="shared" si="40"/>
        <v/>
      </c>
      <c r="J282" s="234" t="str">
        <f t="shared" si="41"/>
        <v/>
      </c>
      <c r="K282" s="234"/>
      <c r="L282" s="234"/>
      <c r="M282" s="234"/>
      <c r="N282" s="234"/>
      <c r="O282" s="234"/>
    </row>
    <row r="283" spans="2:15">
      <c r="B283" s="233" t="str">
        <f t="shared" si="42"/>
        <v/>
      </c>
      <c r="C283" s="243" t="str">
        <f t="shared" si="43"/>
        <v/>
      </c>
      <c r="D283" s="234" t="str">
        <f t="shared" si="44"/>
        <v/>
      </c>
      <c r="E283" s="234" t="str">
        <f t="shared" si="36"/>
        <v/>
      </c>
      <c r="F283" s="234" t="str">
        <f t="shared" si="37"/>
        <v/>
      </c>
      <c r="G283" s="234" t="str">
        <f t="shared" si="38"/>
        <v/>
      </c>
      <c r="H283" s="234" t="str">
        <f t="shared" si="39"/>
        <v/>
      </c>
      <c r="I283" s="234" t="str">
        <f t="shared" si="40"/>
        <v/>
      </c>
      <c r="J283" s="234" t="str">
        <f t="shared" si="41"/>
        <v/>
      </c>
      <c r="K283" s="234"/>
      <c r="L283" s="234"/>
      <c r="M283" s="234"/>
      <c r="N283" s="234"/>
      <c r="O283" s="234"/>
    </row>
    <row r="284" spans="2:15">
      <c r="B284" s="233" t="str">
        <f t="shared" si="42"/>
        <v/>
      </c>
      <c r="C284" s="243" t="str">
        <f t="shared" si="43"/>
        <v/>
      </c>
      <c r="D284" s="234" t="str">
        <f t="shared" si="44"/>
        <v/>
      </c>
      <c r="E284" s="234" t="str">
        <f t="shared" si="36"/>
        <v/>
      </c>
      <c r="F284" s="234" t="str">
        <f t="shared" si="37"/>
        <v/>
      </c>
      <c r="G284" s="234" t="str">
        <f t="shared" si="38"/>
        <v/>
      </c>
      <c r="H284" s="234" t="str">
        <f t="shared" si="39"/>
        <v/>
      </c>
      <c r="I284" s="234" t="str">
        <f t="shared" si="40"/>
        <v/>
      </c>
      <c r="J284" s="234" t="str">
        <f t="shared" si="41"/>
        <v/>
      </c>
      <c r="K284" s="234"/>
      <c r="L284" s="234"/>
      <c r="M284" s="234"/>
      <c r="N284" s="234"/>
      <c r="O284" s="234"/>
    </row>
    <row r="285" spans="2:15">
      <c r="B285" s="233" t="str">
        <f t="shared" si="42"/>
        <v/>
      </c>
      <c r="C285" s="243" t="str">
        <f t="shared" si="43"/>
        <v/>
      </c>
      <c r="D285" s="234" t="str">
        <f t="shared" si="44"/>
        <v/>
      </c>
      <c r="E285" s="234" t="str">
        <f t="shared" si="36"/>
        <v/>
      </c>
      <c r="F285" s="234" t="str">
        <f t="shared" si="37"/>
        <v/>
      </c>
      <c r="G285" s="234" t="str">
        <f t="shared" si="38"/>
        <v/>
      </c>
      <c r="H285" s="234" t="str">
        <f t="shared" si="39"/>
        <v/>
      </c>
      <c r="I285" s="234" t="str">
        <f t="shared" si="40"/>
        <v/>
      </c>
      <c r="J285" s="234" t="str">
        <f t="shared" si="41"/>
        <v/>
      </c>
      <c r="K285" s="234"/>
      <c r="L285" s="234"/>
      <c r="M285" s="234"/>
      <c r="N285" s="234"/>
      <c r="O285" s="234"/>
    </row>
    <row r="286" spans="2:15">
      <c r="B286" s="233" t="str">
        <f t="shared" si="42"/>
        <v/>
      </c>
      <c r="C286" s="243" t="str">
        <f t="shared" si="43"/>
        <v/>
      </c>
      <c r="D286" s="234" t="str">
        <f t="shared" si="44"/>
        <v/>
      </c>
      <c r="E286" s="234" t="str">
        <f t="shared" si="36"/>
        <v/>
      </c>
      <c r="F286" s="234" t="str">
        <f t="shared" si="37"/>
        <v/>
      </c>
      <c r="G286" s="234" t="str">
        <f t="shared" si="38"/>
        <v/>
      </c>
      <c r="H286" s="234" t="str">
        <f t="shared" si="39"/>
        <v/>
      </c>
      <c r="I286" s="234" t="str">
        <f t="shared" si="40"/>
        <v/>
      </c>
      <c r="J286" s="234" t="str">
        <f t="shared" si="41"/>
        <v/>
      </c>
      <c r="K286" s="234"/>
      <c r="L286" s="234"/>
      <c r="M286" s="234"/>
      <c r="N286" s="234"/>
      <c r="O286" s="234"/>
    </row>
    <row r="287" spans="2:15">
      <c r="B287" s="233" t="str">
        <f t="shared" si="42"/>
        <v/>
      </c>
      <c r="C287" s="243" t="str">
        <f t="shared" si="43"/>
        <v/>
      </c>
      <c r="D287" s="234" t="str">
        <f t="shared" si="44"/>
        <v/>
      </c>
      <c r="E287" s="234" t="str">
        <f t="shared" si="36"/>
        <v/>
      </c>
      <c r="F287" s="234" t="str">
        <f t="shared" si="37"/>
        <v/>
      </c>
      <c r="G287" s="234" t="str">
        <f t="shared" si="38"/>
        <v/>
      </c>
      <c r="H287" s="234" t="str">
        <f t="shared" si="39"/>
        <v/>
      </c>
      <c r="I287" s="234" t="str">
        <f t="shared" si="40"/>
        <v/>
      </c>
      <c r="J287" s="234" t="str">
        <f t="shared" si="41"/>
        <v/>
      </c>
      <c r="K287" s="234"/>
      <c r="L287" s="234"/>
      <c r="M287" s="234"/>
      <c r="N287" s="234"/>
      <c r="O287" s="234"/>
    </row>
    <row r="288" spans="2:15">
      <c r="B288" s="233" t="str">
        <f t="shared" si="42"/>
        <v/>
      </c>
      <c r="C288" s="243" t="str">
        <f t="shared" si="43"/>
        <v/>
      </c>
      <c r="D288" s="234" t="str">
        <f t="shared" si="44"/>
        <v/>
      </c>
      <c r="E288" s="234" t="str">
        <f t="shared" si="36"/>
        <v/>
      </c>
      <c r="F288" s="234" t="str">
        <f t="shared" si="37"/>
        <v/>
      </c>
      <c r="G288" s="234" t="str">
        <f t="shared" si="38"/>
        <v/>
      </c>
      <c r="H288" s="234" t="str">
        <f t="shared" si="39"/>
        <v/>
      </c>
      <c r="I288" s="234" t="str">
        <f t="shared" si="40"/>
        <v/>
      </c>
      <c r="J288" s="234" t="str">
        <f t="shared" si="41"/>
        <v/>
      </c>
      <c r="K288" s="234"/>
      <c r="L288" s="234"/>
      <c r="M288" s="234"/>
      <c r="N288" s="234"/>
      <c r="O288" s="234"/>
    </row>
    <row r="289" spans="2:15">
      <c r="B289" s="233" t="str">
        <f t="shared" si="42"/>
        <v/>
      </c>
      <c r="C289" s="243" t="str">
        <f t="shared" si="43"/>
        <v/>
      </c>
      <c r="D289" s="234" t="str">
        <f t="shared" si="44"/>
        <v/>
      </c>
      <c r="E289" s="234" t="str">
        <f t="shared" si="36"/>
        <v/>
      </c>
      <c r="F289" s="234" t="str">
        <f t="shared" si="37"/>
        <v/>
      </c>
      <c r="G289" s="234" t="str">
        <f t="shared" si="38"/>
        <v/>
      </c>
      <c r="H289" s="234" t="str">
        <f t="shared" si="39"/>
        <v/>
      </c>
      <c r="I289" s="234" t="str">
        <f t="shared" si="40"/>
        <v/>
      </c>
      <c r="J289" s="234" t="str">
        <f t="shared" si="41"/>
        <v/>
      </c>
      <c r="K289" s="234"/>
      <c r="L289" s="234"/>
      <c r="M289" s="234"/>
      <c r="N289" s="234"/>
      <c r="O289" s="234"/>
    </row>
    <row r="290" spans="2:15">
      <c r="B290" s="233" t="str">
        <f t="shared" si="42"/>
        <v/>
      </c>
      <c r="C290" s="243" t="str">
        <f t="shared" si="43"/>
        <v/>
      </c>
      <c r="D290" s="234" t="str">
        <f t="shared" si="44"/>
        <v/>
      </c>
      <c r="E290" s="234" t="str">
        <f t="shared" si="36"/>
        <v/>
      </c>
      <c r="F290" s="234" t="str">
        <f t="shared" si="37"/>
        <v/>
      </c>
      <c r="G290" s="234" t="str">
        <f t="shared" si="38"/>
        <v/>
      </c>
      <c r="H290" s="234" t="str">
        <f t="shared" si="39"/>
        <v/>
      </c>
      <c r="I290" s="234" t="str">
        <f t="shared" si="40"/>
        <v/>
      </c>
      <c r="J290" s="234" t="str">
        <f t="shared" si="41"/>
        <v/>
      </c>
      <c r="K290" s="234"/>
      <c r="L290" s="234"/>
      <c r="M290" s="234"/>
      <c r="N290" s="234"/>
      <c r="O290" s="234"/>
    </row>
    <row r="291" spans="2:15">
      <c r="B291" s="233" t="str">
        <f t="shared" si="42"/>
        <v/>
      </c>
      <c r="C291" s="243" t="str">
        <f t="shared" si="43"/>
        <v/>
      </c>
      <c r="D291" s="234" t="str">
        <f t="shared" si="44"/>
        <v/>
      </c>
      <c r="E291" s="234" t="str">
        <f t="shared" si="36"/>
        <v/>
      </c>
      <c r="F291" s="234" t="str">
        <f t="shared" si="37"/>
        <v/>
      </c>
      <c r="G291" s="234" t="str">
        <f t="shared" si="38"/>
        <v/>
      </c>
      <c r="H291" s="234" t="str">
        <f t="shared" si="39"/>
        <v/>
      </c>
      <c r="I291" s="234" t="str">
        <f t="shared" si="40"/>
        <v/>
      </c>
      <c r="J291" s="234" t="str">
        <f t="shared" si="41"/>
        <v/>
      </c>
      <c r="K291" s="234"/>
      <c r="L291" s="234"/>
      <c r="M291" s="234"/>
      <c r="N291" s="234"/>
      <c r="O291" s="234"/>
    </row>
    <row r="292" spans="2:15">
      <c r="B292" s="233" t="str">
        <f t="shared" si="42"/>
        <v/>
      </c>
      <c r="C292" s="243" t="str">
        <f t="shared" si="43"/>
        <v/>
      </c>
      <c r="D292" s="234" t="str">
        <f t="shared" si="44"/>
        <v/>
      </c>
      <c r="E292" s="234" t="str">
        <f t="shared" si="36"/>
        <v/>
      </c>
      <c r="F292" s="234" t="str">
        <f t="shared" si="37"/>
        <v/>
      </c>
      <c r="G292" s="234" t="str">
        <f t="shared" si="38"/>
        <v/>
      </c>
      <c r="H292" s="234" t="str">
        <f t="shared" si="39"/>
        <v/>
      </c>
      <c r="I292" s="234" t="str">
        <f t="shared" si="40"/>
        <v/>
      </c>
      <c r="J292" s="234" t="str">
        <f t="shared" si="41"/>
        <v/>
      </c>
      <c r="K292" s="234"/>
      <c r="L292" s="234"/>
      <c r="M292" s="234"/>
      <c r="N292" s="234"/>
      <c r="O292" s="234"/>
    </row>
    <row r="293" spans="2:15">
      <c r="B293" s="233" t="str">
        <f t="shared" si="42"/>
        <v/>
      </c>
      <c r="C293" s="243" t="str">
        <f t="shared" si="43"/>
        <v/>
      </c>
      <c r="D293" s="234" t="str">
        <f t="shared" si="44"/>
        <v/>
      </c>
      <c r="E293" s="234" t="str">
        <f t="shared" si="36"/>
        <v/>
      </c>
      <c r="F293" s="234" t="str">
        <f t="shared" si="37"/>
        <v/>
      </c>
      <c r="G293" s="234" t="str">
        <f t="shared" si="38"/>
        <v/>
      </c>
      <c r="H293" s="234" t="str">
        <f t="shared" si="39"/>
        <v/>
      </c>
      <c r="I293" s="234" t="str">
        <f t="shared" si="40"/>
        <v/>
      </c>
      <c r="J293" s="234" t="str">
        <f t="shared" si="41"/>
        <v/>
      </c>
      <c r="K293" s="234"/>
      <c r="L293" s="234"/>
      <c r="M293" s="234"/>
      <c r="N293" s="234"/>
      <c r="O293" s="234"/>
    </row>
    <row r="294" spans="2:15">
      <c r="B294" s="233" t="str">
        <f t="shared" si="42"/>
        <v/>
      </c>
      <c r="C294" s="243" t="str">
        <f t="shared" si="43"/>
        <v/>
      </c>
      <c r="D294" s="234" t="str">
        <f t="shared" si="44"/>
        <v/>
      </c>
      <c r="E294" s="234" t="str">
        <f t="shared" si="36"/>
        <v/>
      </c>
      <c r="F294" s="234" t="str">
        <f t="shared" si="37"/>
        <v/>
      </c>
      <c r="G294" s="234" t="str">
        <f t="shared" si="38"/>
        <v/>
      </c>
      <c r="H294" s="234" t="str">
        <f t="shared" si="39"/>
        <v/>
      </c>
      <c r="I294" s="234" t="str">
        <f t="shared" si="40"/>
        <v/>
      </c>
      <c r="J294" s="234" t="str">
        <f t="shared" si="41"/>
        <v/>
      </c>
      <c r="K294" s="234"/>
      <c r="L294" s="234"/>
      <c r="M294" s="234"/>
      <c r="N294" s="234"/>
      <c r="O294" s="234"/>
    </row>
    <row r="295" spans="2:15">
      <c r="B295" s="233" t="str">
        <f t="shared" si="42"/>
        <v/>
      </c>
      <c r="C295" s="243" t="str">
        <f t="shared" si="43"/>
        <v/>
      </c>
      <c r="D295" s="234" t="str">
        <f t="shared" si="44"/>
        <v/>
      </c>
      <c r="E295" s="234" t="str">
        <f t="shared" si="36"/>
        <v/>
      </c>
      <c r="F295" s="234" t="str">
        <f t="shared" si="37"/>
        <v/>
      </c>
      <c r="G295" s="234" t="str">
        <f t="shared" si="38"/>
        <v/>
      </c>
      <c r="H295" s="234" t="str">
        <f t="shared" si="39"/>
        <v/>
      </c>
      <c r="I295" s="234" t="str">
        <f t="shared" si="40"/>
        <v/>
      </c>
      <c r="J295" s="234" t="str">
        <f t="shared" si="41"/>
        <v/>
      </c>
      <c r="K295" s="234"/>
      <c r="L295" s="234"/>
      <c r="M295" s="234"/>
      <c r="N295" s="234"/>
      <c r="O295" s="234"/>
    </row>
    <row r="296" spans="2:15">
      <c r="B296" s="233" t="str">
        <f t="shared" si="42"/>
        <v/>
      </c>
      <c r="C296" s="243" t="str">
        <f t="shared" si="43"/>
        <v/>
      </c>
      <c r="D296" s="234" t="str">
        <f t="shared" si="44"/>
        <v/>
      </c>
      <c r="E296" s="234" t="str">
        <f t="shared" si="36"/>
        <v/>
      </c>
      <c r="F296" s="234" t="str">
        <f t="shared" si="37"/>
        <v/>
      </c>
      <c r="G296" s="234" t="str">
        <f t="shared" si="38"/>
        <v/>
      </c>
      <c r="H296" s="234" t="str">
        <f t="shared" si="39"/>
        <v/>
      </c>
      <c r="I296" s="234" t="str">
        <f t="shared" si="40"/>
        <v/>
      </c>
      <c r="J296" s="234" t="str">
        <f t="shared" si="41"/>
        <v/>
      </c>
      <c r="K296" s="234"/>
      <c r="L296" s="234"/>
      <c r="M296" s="234"/>
      <c r="N296" s="234"/>
      <c r="O296" s="234"/>
    </row>
    <row r="297" spans="2:15">
      <c r="B297" s="233" t="str">
        <f t="shared" si="42"/>
        <v/>
      </c>
      <c r="C297" s="243" t="str">
        <f t="shared" si="43"/>
        <v/>
      </c>
      <c r="D297" s="234" t="str">
        <f t="shared" si="44"/>
        <v/>
      </c>
      <c r="E297" s="234" t="str">
        <f t="shared" si="36"/>
        <v/>
      </c>
      <c r="F297" s="234" t="str">
        <f t="shared" si="37"/>
        <v/>
      </c>
      <c r="G297" s="234" t="str">
        <f t="shared" si="38"/>
        <v/>
      </c>
      <c r="H297" s="234" t="str">
        <f t="shared" si="39"/>
        <v/>
      </c>
      <c r="I297" s="234" t="str">
        <f t="shared" si="40"/>
        <v/>
      </c>
      <c r="J297" s="234" t="str">
        <f t="shared" si="41"/>
        <v/>
      </c>
      <c r="K297" s="234"/>
      <c r="L297" s="234"/>
      <c r="M297" s="234"/>
      <c r="N297" s="234"/>
      <c r="O297" s="234"/>
    </row>
    <row r="298" spans="2:15">
      <c r="B298" s="233" t="str">
        <f t="shared" si="42"/>
        <v/>
      </c>
      <c r="C298" s="243" t="str">
        <f t="shared" si="43"/>
        <v/>
      </c>
      <c r="D298" s="234" t="str">
        <f t="shared" si="44"/>
        <v/>
      </c>
      <c r="E298" s="234" t="str">
        <f t="shared" si="36"/>
        <v/>
      </c>
      <c r="F298" s="234" t="str">
        <f t="shared" si="37"/>
        <v/>
      </c>
      <c r="G298" s="234" t="str">
        <f t="shared" si="38"/>
        <v/>
      </c>
      <c r="H298" s="234" t="str">
        <f t="shared" si="39"/>
        <v/>
      </c>
      <c r="I298" s="234" t="str">
        <f t="shared" si="40"/>
        <v/>
      </c>
      <c r="J298" s="234" t="str">
        <f t="shared" si="41"/>
        <v/>
      </c>
      <c r="K298" s="234"/>
      <c r="L298" s="234"/>
      <c r="M298" s="234"/>
      <c r="N298" s="234"/>
      <c r="O298" s="234"/>
    </row>
    <row r="299" spans="2:15">
      <c r="B299" s="233" t="str">
        <f t="shared" si="42"/>
        <v/>
      </c>
      <c r="C299" s="243" t="str">
        <f t="shared" si="43"/>
        <v/>
      </c>
      <c r="D299" s="234" t="str">
        <f t="shared" si="44"/>
        <v/>
      </c>
      <c r="E299" s="234" t="str">
        <f t="shared" si="36"/>
        <v/>
      </c>
      <c r="F299" s="234" t="str">
        <f t="shared" si="37"/>
        <v/>
      </c>
      <c r="G299" s="234" t="str">
        <f t="shared" si="38"/>
        <v/>
      </c>
      <c r="H299" s="234" t="str">
        <f t="shared" si="39"/>
        <v/>
      </c>
      <c r="I299" s="234" t="str">
        <f t="shared" si="40"/>
        <v/>
      </c>
      <c r="J299" s="234" t="str">
        <f t="shared" si="41"/>
        <v/>
      </c>
      <c r="K299" s="234"/>
      <c r="L299" s="234"/>
      <c r="M299" s="234"/>
      <c r="N299" s="234"/>
      <c r="O299" s="234"/>
    </row>
    <row r="300" spans="2:15">
      <c r="B300" s="233" t="str">
        <f t="shared" si="42"/>
        <v/>
      </c>
      <c r="C300" s="243" t="str">
        <f t="shared" si="43"/>
        <v/>
      </c>
      <c r="D300" s="234" t="str">
        <f t="shared" si="44"/>
        <v/>
      </c>
      <c r="E300" s="234" t="str">
        <f t="shared" si="36"/>
        <v/>
      </c>
      <c r="F300" s="234" t="str">
        <f t="shared" si="37"/>
        <v/>
      </c>
      <c r="G300" s="234" t="str">
        <f t="shared" si="38"/>
        <v/>
      </c>
      <c r="H300" s="234" t="str">
        <f t="shared" si="39"/>
        <v/>
      </c>
      <c r="I300" s="234" t="str">
        <f t="shared" si="40"/>
        <v/>
      </c>
      <c r="J300" s="234" t="str">
        <f t="shared" si="41"/>
        <v/>
      </c>
      <c r="K300" s="234"/>
      <c r="L300" s="234"/>
      <c r="M300" s="234"/>
      <c r="N300" s="234"/>
      <c r="O300" s="234"/>
    </row>
    <row r="301" spans="2:15">
      <c r="B301" s="233" t="str">
        <f t="shared" si="42"/>
        <v/>
      </c>
      <c r="C301" s="243" t="str">
        <f t="shared" si="43"/>
        <v/>
      </c>
      <c r="D301" s="234" t="str">
        <f t="shared" si="44"/>
        <v/>
      </c>
      <c r="E301" s="234" t="str">
        <f t="shared" si="36"/>
        <v/>
      </c>
      <c r="F301" s="234" t="str">
        <f t="shared" si="37"/>
        <v/>
      </c>
      <c r="G301" s="234" t="str">
        <f t="shared" si="38"/>
        <v/>
      </c>
      <c r="H301" s="234" t="str">
        <f t="shared" si="39"/>
        <v/>
      </c>
      <c r="I301" s="234" t="str">
        <f t="shared" si="40"/>
        <v/>
      </c>
      <c r="J301" s="234" t="str">
        <f t="shared" si="41"/>
        <v/>
      </c>
      <c r="K301" s="234"/>
      <c r="L301" s="234"/>
      <c r="M301" s="234"/>
      <c r="N301" s="234"/>
      <c r="O301" s="234"/>
    </row>
    <row r="302" spans="2:15">
      <c r="B302" s="233" t="str">
        <f t="shared" si="42"/>
        <v/>
      </c>
      <c r="C302" s="243" t="str">
        <f t="shared" si="43"/>
        <v/>
      </c>
      <c r="D302" s="234" t="str">
        <f t="shared" si="44"/>
        <v/>
      </c>
      <c r="E302" s="234" t="str">
        <f t="shared" si="36"/>
        <v/>
      </c>
      <c r="F302" s="234" t="str">
        <f t="shared" si="37"/>
        <v/>
      </c>
      <c r="G302" s="234" t="str">
        <f t="shared" si="38"/>
        <v/>
      </c>
      <c r="H302" s="234" t="str">
        <f t="shared" si="39"/>
        <v/>
      </c>
      <c r="I302" s="234" t="str">
        <f t="shared" si="40"/>
        <v/>
      </c>
      <c r="J302" s="234" t="str">
        <f t="shared" si="41"/>
        <v/>
      </c>
      <c r="K302" s="234"/>
      <c r="L302" s="234"/>
      <c r="M302" s="234"/>
      <c r="N302" s="234"/>
      <c r="O302" s="234"/>
    </row>
    <row r="303" spans="2:15">
      <c r="B303" s="233" t="str">
        <f t="shared" si="42"/>
        <v/>
      </c>
      <c r="C303" s="243" t="str">
        <f t="shared" si="43"/>
        <v/>
      </c>
      <c r="D303" s="234" t="str">
        <f t="shared" si="44"/>
        <v/>
      </c>
      <c r="E303" s="234" t="str">
        <f t="shared" si="36"/>
        <v/>
      </c>
      <c r="F303" s="234" t="str">
        <f t="shared" si="37"/>
        <v/>
      </c>
      <c r="G303" s="234" t="str">
        <f t="shared" si="38"/>
        <v/>
      </c>
      <c r="H303" s="234" t="str">
        <f t="shared" si="39"/>
        <v/>
      </c>
      <c r="I303" s="234" t="str">
        <f t="shared" si="40"/>
        <v/>
      </c>
      <c r="J303" s="234" t="str">
        <f t="shared" si="41"/>
        <v/>
      </c>
      <c r="K303" s="234"/>
      <c r="L303" s="234"/>
      <c r="M303" s="234"/>
      <c r="N303" s="234"/>
      <c r="O303" s="234"/>
    </row>
    <row r="304" spans="2:15">
      <c r="B304" s="233" t="str">
        <f t="shared" si="42"/>
        <v/>
      </c>
      <c r="C304" s="243" t="str">
        <f t="shared" si="43"/>
        <v/>
      </c>
      <c r="D304" s="234" t="str">
        <f t="shared" si="44"/>
        <v/>
      </c>
      <c r="E304" s="234" t="str">
        <f t="shared" si="36"/>
        <v/>
      </c>
      <c r="F304" s="234" t="str">
        <f t="shared" si="37"/>
        <v/>
      </c>
      <c r="G304" s="234" t="str">
        <f t="shared" si="38"/>
        <v/>
      </c>
      <c r="H304" s="234" t="str">
        <f t="shared" si="39"/>
        <v/>
      </c>
      <c r="I304" s="234" t="str">
        <f t="shared" si="40"/>
        <v/>
      </c>
      <c r="J304" s="234" t="str">
        <f t="shared" si="41"/>
        <v/>
      </c>
      <c r="K304" s="234"/>
      <c r="L304" s="234"/>
      <c r="M304" s="234"/>
      <c r="N304" s="234"/>
      <c r="O304" s="234"/>
    </row>
    <row r="305" spans="2:15">
      <c r="B305" s="233" t="str">
        <f t="shared" si="42"/>
        <v/>
      </c>
      <c r="C305" s="243" t="str">
        <f t="shared" si="43"/>
        <v/>
      </c>
      <c r="D305" s="234" t="str">
        <f t="shared" si="44"/>
        <v/>
      </c>
      <c r="E305" s="234" t="str">
        <f t="shared" si="36"/>
        <v/>
      </c>
      <c r="F305" s="234" t="str">
        <f t="shared" si="37"/>
        <v/>
      </c>
      <c r="G305" s="234" t="str">
        <f t="shared" si="38"/>
        <v/>
      </c>
      <c r="H305" s="234" t="str">
        <f t="shared" si="39"/>
        <v/>
      </c>
      <c r="I305" s="234" t="str">
        <f t="shared" si="40"/>
        <v/>
      </c>
      <c r="J305" s="234" t="str">
        <f t="shared" si="41"/>
        <v/>
      </c>
      <c r="K305" s="234"/>
      <c r="L305" s="234"/>
      <c r="M305" s="234"/>
      <c r="N305" s="234"/>
      <c r="O305" s="234"/>
    </row>
    <row r="306" spans="2:15">
      <c r="B306" s="233" t="str">
        <f t="shared" si="42"/>
        <v/>
      </c>
      <c r="C306" s="243" t="str">
        <f t="shared" si="43"/>
        <v/>
      </c>
      <c r="D306" s="234" t="str">
        <f t="shared" si="44"/>
        <v/>
      </c>
      <c r="E306" s="234" t="str">
        <f t="shared" si="36"/>
        <v/>
      </c>
      <c r="F306" s="234" t="str">
        <f t="shared" si="37"/>
        <v/>
      </c>
      <c r="G306" s="234" t="str">
        <f t="shared" si="38"/>
        <v/>
      </c>
      <c r="H306" s="234" t="str">
        <f t="shared" si="39"/>
        <v/>
      </c>
      <c r="I306" s="234" t="str">
        <f t="shared" si="40"/>
        <v/>
      </c>
      <c r="J306" s="234" t="str">
        <f t="shared" si="41"/>
        <v/>
      </c>
      <c r="K306" s="234"/>
      <c r="L306" s="234"/>
      <c r="M306" s="234"/>
      <c r="N306" s="234"/>
      <c r="O306" s="234"/>
    </row>
    <row r="307" spans="2:15">
      <c r="B307" s="233" t="str">
        <f t="shared" si="42"/>
        <v/>
      </c>
      <c r="C307" s="243" t="str">
        <f t="shared" si="43"/>
        <v/>
      </c>
      <c r="D307" s="234" t="str">
        <f t="shared" si="44"/>
        <v/>
      </c>
      <c r="E307" s="234" t="str">
        <f t="shared" si="36"/>
        <v/>
      </c>
      <c r="F307" s="234" t="str">
        <f t="shared" si="37"/>
        <v/>
      </c>
      <c r="G307" s="234" t="str">
        <f t="shared" si="38"/>
        <v/>
      </c>
      <c r="H307" s="234" t="str">
        <f t="shared" si="39"/>
        <v/>
      </c>
      <c r="I307" s="234" t="str">
        <f t="shared" si="40"/>
        <v/>
      </c>
      <c r="J307" s="234" t="str">
        <f t="shared" si="41"/>
        <v/>
      </c>
      <c r="K307" s="234"/>
      <c r="L307" s="234"/>
      <c r="M307" s="234"/>
      <c r="N307" s="234"/>
      <c r="O307" s="234"/>
    </row>
    <row r="308" spans="2:15">
      <c r="B308" s="233" t="str">
        <f t="shared" si="42"/>
        <v/>
      </c>
      <c r="C308" s="243" t="str">
        <f t="shared" si="43"/>
        <v/>
      </c>
      <c r="D308" s="234" t="str">
        <f t="shared" si="44"/>
        <v/>
      </c>
      <c r="E308" s="234" t="str">
        <f t="shared" si="36"/>
        <v/>
      </c>
      <c r="F308" s="234" t="str">
        <f t="shared" si="37"/>
        <v/>
      </c>
      <c r="G308" s="234" t="str">
        <f t="shared" si="38"/>
        <v/>
      </c>
      <c r="H308" s="234" t="str">
        <f t="shared" si="39"/>
        <v/>
      </c>
      <c r="I308" s="234" t="str">
        <f t="shared" si="40"/>
        <v/>
      </c>
      <c r="J308" s="234" t="str">
        <f t="shared" si="41"/>
        <v/>
      </c>
      <c r="K308" s="234"/>
      <c r="L308" s="234"/>
      <c r="M308" s="234"/>
      <c r="N308" s="234"/>
      <c r="O308" s="234"/>
    </row>
    <row r="309" spans="2:15">
      <c r="B309" s="233" t="str">
        <f t="shared" si="42"/>
        <v/>
      </c>
      <c r="C309" s="243" t="str">
        <f t="shared" si="43"/>
        <v/>
      </c>
      <c r="D309" s="234" t="str">
        <f t="shared" si="44"/>
        <v/>
      </c>
      <c r="E309" s="234" t="str">
        <f t="shared" si="36"/>
        <v/>
      </c>
      <c r="F309" s="234" t="str">
        <f t="shared" si="37"/>
        <v/>
      </c>
      <c r="G309" s="234" t="str">
        <f t="shared" si="38"/>
        <v/>
      </c>
      <c r="H309" s="234" t="str">
        <f t="shared" si="39"/>
        <v/>
      </c>
      <c r="I309" s="234" t="str">
        <f t="shared" si="40"/>
        <v/>
      </c>
      <c r="J309" s="234" t="str">
        <f t="shared" si="41"/>
        <v/>
      </c>
      <c r="K309" s="234"/>
      <c r="L309" s="234"/>
      <c r="M309" s="234"/>
      <c r="N309" s="234"/>
      <c r="O309" s="234"/>
    </row>
    <row r="310" spans="2:15">
      <c r="B310" s="233" t="str">
        <f t="shared" si="42"/>
        <v/>
      </c>
      <c r="C310" s="243" t="str">
        <f t="shared" si="43"/>
        <v/>
      </c>
      <c r="D310" s="234" t="str">
        <f t="shared" si="44"/>
        <v/>
      </c>
      <c r="E310" s="234" t="str">
        <f t="shared" si="36"/>
        <v/>
      </c>
      <c r="F310" s="234" t="str">
        <f t="shared" si="37"/>
        <v/>
      </c>
      <c r="G310" s="234" t="str">
        <f t="shared" si="38"/>
        <v/>
      </c>
      <c r="H310" s="234" t="str">
        <f t="shared" si="39"/>
        <v/>
      </c>
      <c r="I310" s="234" t="str">
        <f t="shared" si="40"/>
        <v/>
      </c>
      <c r="J310" s="234" t="str">
        <f t="shared" si="41"/>
        <v/>
      </c>
      <c r="K310" s="234"/>
      <c r="L310" s="234"/>
      <c r="M310" s="234"/>
      <c r="N310" s="234"/>
      <c r="O310" s="234"/>
    </row>
    <row r="311" spans="2:15">
      <c r="B311" s="233" t="str">
        <f t="shared" si="42"/>
        <v/>
      </c>
      <c r="C311" s="243" t="str">
        <f t="shared" si="43"/>
        <v/>
      </c>
      <c r="D311" s="234" t="str">
        <f t="shared" si="44"/>
        <v/>
      </c>
      <c r="E311" s="234" t="str">
        <f t="shared" si="36"/>
        <v/>
      </c>
      <c r="F311" s="234" t="str">
        <f t="shared" si="37"/>
        <v/>
      </c>
      <c r="G311" s="234" t="str">
        <f t="shared" si="38"/>
        <v/>
      </c>
      <c r="H311" s="234" t="str">
        <f t="shared" si="39"/>
        <v/>
      </c>
      <c r="I311" s="234" t="str">
        <f t="shared" si="40"/>
        <v/>
      </c>
      <c r="J311" s="234" t="str">
        <f t="shared" si="41"/>
        <v/>
      </c>
      <c r="K311" s="234"/>
      <c r="L311" s="234"/>
      <c r="M311" s="234"/>
      <c r="N311" s="234"/>
      <c r="O311" s="234"/>
    </row>
    <row r="312" spans="2:15">
      <c r="B312" s="233" t="str">
        <f t="shared" si="42"/>
        <v/>
      </c>
      <c r="C312" s="243" t="str">
        <f t="shared" si="43"/>
        <v/>
      </c>
      <c r="D312" s="234" t="str">
        <f t="shared" si="44"/>
        <v/>
      </c>
      <c r="E312" s="234" t="str">
        <f t="shared" si="36"/>
        <v/>
      </c>
      <c r="F312" s="234" t="str">
        <f t="shared" si="37"/>
        <v/>
      </c>
      <c r="G312" s="234" t="str">
        <f t="shared" si="38"/>
        <v/>
      </c>
      <c r="H312" s="234" t="str">
        <f t="shared" si="39"/>
        <v/>
      </c>
      <c r="I312" s="234" t="str">
        <f t="shared" si="40"/>
        <v/>
      </c>
      <c r="J312" s="234" t="str">
        <f t="shared" si="41"/>
        <v/>
      </c>
      <c r="K312" s="234"/>
      <c r="L312" s="234"/>
      <c r="M312" s="234"/>
      <c r="N312" s="234"/>
      <c r="O312" s="234"/>
    </row>
    <row r="313" spans="2:15">
      <c r="B313" s="233" t="str">
        <f t="shared" si="42"/>
        <v/>
      </c>
      <c r="C313" s="243" t="str">
        <f t="shared" si="43"/>
        <v/>
      </c>
      <c r="D313" s="234" t="str">
        <f t="shared" si="44"/>
        <v/>
      </c>
      <c r="E313" s="234" t="str">
        <f t="shared" si="36"/>
        <v/>
      </c>
      <c r="F313" s="234" t="str">
        <f t="shared" si="37"/>
        <v/>
      </c>
      <c r="G313" s="234" t="str">
        <f t="shared" si="38"/>
        <v/>
      </c>
      <c r="H313" s="234" t="str">
        <f t="shared" si="39"/>
        <v/>
      </c>
      <c r="I313" s="234" t="str">
        <f t="shared" si="40"/>
        <v/>
      </c>
      <c r="J313" s="234" t="str">
        <f t="shared" si="41"/>
        <v/>
      </c>
      <c r="K313" s="234"/>
      <c r="L313" s="234"/>
      <c r="M313" s="234"/>
      <c r="N313" s="234"/>
      <c r="O313" s="234"/>
    </row>
    <row r="314" spans="2:15">
      <c r="B314" s="233" t="str">
        <f t="shared" si="42"/>
        <v/>
      </c>
      <c r="C314" s="243" t="str">
        <f t="shared" si="43"/>
        <v/>
      </c>
      <c r="D314" s="234" t="str">
        <f t="shared" si="44"/>
        <v/>
      </c>
      <c r="E314" s="234" t="str">
        <f t="shared" si="36"/>
        <v/>
      </c>
      <c r="F314" s="234" t="str">
        <f t="shared" si="37"/>
        <v/>
      </c>
      <c r="G314" s="234" t="str">
        <f t="shared" si="38"/>
        <v/>
      </c>
      <c r="H314" s="234" t="str">
        <f t="shared" si="39"/>
        <v/>
      </c>
      <c r="I314" s="234" t="str">
        <f t="shared" si="40"/>
        <v/>
      </c>
      <c r="J314" s="234" t="str">
        <f t="shared" si="41"/>
        <v/>
      </c>
      <c r="K314" s="234"/>
      <c r="L314" s="234"/>
      <c r="M314" s="234"/>
      <c r="N314" s="234"/>
      <c r="O314" s="234"/>
    </row>
    <row r="315" spans="2:15">
      <c r="B315" s="233" t="str">
        <f t="shared" si="42"/>
        <v/>
      </c>
      <c r="C315" s="243" t="str">
        <f t="shared" si="43"/>
        <v/>
      </c>
      <c r="D315" s="234" t="str">
        <f t="shared" si="44"/>
        <v/>
      </c>
      <c r="E315" s="234" t="str">
        <f t="shared" si="36"/>
        <v/>
      </c>
      <c r="F315" s="234" t="str">
        <f t="shared" si="37"/>
        <v/>
      </c>
      <c r="G315" s="234" t="str">
        <f t="shared" si="38"/>
        <v/>
      </c>
      <c r="H315" s="234" t="str">
        <f t="shared" si="39"/>
        <v/>
      </c>
      <c r="I315" s="234" t="str">
        <f t="shared" si="40"/>
        <v/>
      </c>
      <c r="J315" s="234" t="str">
        <f t="shared" si="41"/>
        <v/>
      </c>
      <c r="K315" s="234"/>
      <c r="L315" s="234"/>
      <c r="M315" s="234"/>
      <c r="N315" s="234"/>
      <c r="O315" s="234"/>
    </row>
    <row r="316" spans="2:15">
      <c r="B316" s="233" t="str">
        <f t="shared" si="42"/>
        <v/>
      </c>
      <c r="C316" s="243" t="str">
        <f t="shared" si="43"/>
        <v/>
      </c>
      <c r="D316" s="234" t="str">
        <f t="shared" si="44"/>
        <v/>
      </c>
      <c r="E316" s="234" t="str">
        <f t="shared" si="36"/>
        <v/>
      </c>
      <c r="F316" s="234" t="str">
        <f t="shared" si="37"/>
        <v/>
      </c>
      <c r="G316" s="234" t="str">
        <f t="shared" si="38"/>
        <v/>
      </c>
      <c r="H316" s="234" t="str">
        <f t="shared" si="39"/>
        <v/>
      </c>
      <c r="I316" s="234" t="str">
        <f t="shared" si="40"/>
        <v/>
      </c>
      <c r="J316" s="234" t="str">
        <f t="shared" si="41"/>
        <v/>
      </c>
      <c r="K316" s="234"/>
      <c r="L316" s="234"/>
      <c r="M316" s="234"/>
      <c r="N316" s="234"/>
      <c r="O316" s="234"/>
    </row>
    <row r="317" spans="2:15">
      <c r="B317" s="233" t="str">
        <f t="shared" si="42"/>
        <v/>
      </c>
      <c r="C317" s="243" t="str">
        <f t="shared" si="43"/>
        <v/>
      </c>
      <c r="D317" s="234" t="str">
        <f t="shared" si="44"/>
        <v/>
      </c>
      <c r="E317" s="234" t="str">
        <f t="shared" si="36"/>
        <v/>
      </c>
      <c r="F317" s="234" t="str">
        <f t="shared" si="37"/>
        <v/>
      </c>
      <c r="G317" s="234" t="str">
        <f t="shared" si="38"/>
        <v/>
      </c>
      <c r="H317" s="234" t="str">
        <f t="shared" si="39"/>
        <v/>
      </c>
      <c r="I317" s="234" t="str">
        <f t="shared" si="40"/>
        <v/>
      </c>
      <c r="J317" s="234" t="str">
        <f t="shared" si="41"/>
        <v/>
      </c>
      <c r="K317" s="234"/>
      <c r="L317" s="234"/>
      <c r="M317" s="234"/>
      <c r="N317" s="234"/>
      <c r="O317" s="234"/>
    </row>
    <row r="318" spans="2:15">
      <c r="B318" s="233" t="str">
        <f t="shared" si="42"/>
        <v/>
      </c>
      <c r="C318" s="243" t="str">
        <f t="shared" si="43"/>
        <v/>
      </c>
      <c r="D318" s="234" t="str">
        <f t="shared" si="44"/>
        <v/>
      </c>
      <c r="E318" s="234" t="str">
        <f t="shared" si="36"/>
        <v/>
      </c>
      <c r="F318" s="234" t="str">
        <f t="shared" si="37"/>
        <v/>
      </c>
      <c r="G318" s="234" t="str">
        <f t="shared" si="38"/>
        <v/>
      </c>
      <c r="H318" s="234" t="str">
        <f t="shared" si="39"/>
        <v/>
      </c>
      <c r="I318" s="234" t="str">
        <f t="shared" si="40"/>
        <v/>
      </c>
      <c r="J318" s="234" t="str">
        <f t="shared" si="41"/>
        <v/>
      </c>
      <c r="K318" s="234"/>
      <c r="L318" s="234"/>
      <c r="M318" s="234"/>
      <c r="N318" s="234"/>
      <c r="O318" s="234"/>
    </row>
    <row r="319" spans="2:15">
      <c r="B319" s="233" t="str">
        <f t="shared" si="42"/>
        <v/>
      </c>
      <c r="C319" s="243" t="str">
        <f t="shared" si="43"/>
        <v/>
      </c>
      <c r="D319" s="234" t="str">
        <f t="shared" si="44"/>
        <v/>
      </c>
      <c r="E319" s="234" t="str">
        <f t="shared" si="36"/>
        <v/>
      </c>
      <c r="F319" s="234" t="str">
        <f t="shared" si="37"/>
        <v/>
      </c>
      <c r="G319" s="234" t="str">
        <f t="shared" si="38"/>
        <v/>
      </c>
      <c r="H319" s="234" t="str">
        <f t="shared" si="39"/>
        <v/>
      </c>
      <c r="I319" s="234" t="str">
        <f t="shared" si="40"/>
        <v/>
      </c>
      <c r="J319" s="234" t="str">
        <f t="shared" si="41"/>
        <v/>
      </c>
      <c r="K319" s="234"/>
      <c r="L319" s="234"/>
      <c r="M319" s="234"/>
      <c r="N319" s="234"/>
      <c r="O319" s="234"/>
    </row>
    <row r="320" spans="2:15">
      <c r="B320" s="233" t="str">
        <f t="shared" si="42"/>
        <v/>
      </c>
      <c r="C320" s="243" t="str">
        <f t="shared" si="43"/>
        <v/>
      </c>
      <c r="D320" s="234" t="str">
        <f t="shared" si="44"/>
        <v/>
      </c>
      <c r="E320" s="234" t="str">
        <f t="shared" si="36"/>
        <v/>
      </c>
      <c r="F320" s="234" t="str">
        <f t="shared" si="37"/>
        <v/>
      </c>
      <c r="G320" s="234" t="str">
        <f t="shared" si="38"/>
        <v/>
      </c>
      <c r="H320" s="234" t="str">
        <f t="shared" si="39"/>
        <v/>
      </c>
      <c r="I320" s="234" t="str">
        <f t="shared" si="40"/>
        <v/>
      </c>
      <c r="J320" s="234" t="str">
        <f t="shared" si="41"/>
        <v/>
      </c>
      <c r="K320" s="234"/>
      <c r="L320" s="234"/>
      <c r="M320" s="234"/>
      <c r="N320" s="234"/>
      <c r="O320" s="234"/>
    </row>
    <row r="321" spans="2:15">
      <c r="B321" s="233" t="str">
        <f t="shared" si="42"/>
        <v/>
      </c>
      <c r="C321" s="243" t="str">
        <f t="shared" si="43"/>
        <v/>
      </c>
      <c r="D321" s="234" t="str">
        <f t="shared" si="44"/>
        <v/>
      </c>
      <c r="E321" s="234" t="str">
        <f t="shared" si="36"/>
        <v/>
      </c>
      <c r="F321" s="234" t="str">
        <f t="shared" si="37"/>
        <v/>
      </c>
      <c r="G321" s="234" t="str">
        <f t="shared" si="38"/>
        <v/>
      </c>
      <c r="H321" s="234" t="str">
        <f t="shared" si="39"/>
        <v/>
      </c>
      <c r="I321" s="234" t="str">
        <f t="shared" si="40"/>
        <v/>
      </c>
      <c r="J321" s="234" t="str">
        <f t="shared" si="41"/>
        <v/>
      </c>
      <c r="K321" s="234"/>
      <c r="L321" s="234"/>
      <c r="M321" s="234"/>
      <c r="N321" s="234"/>
      <c r="O321" s="234"/>
    </row>
    <row r="322" spans="2:15">
      <c r="B322" s="233" t="str">
        <f t="shared" si="42"/>
        <v/>
      </c>
      <c r="C322" s="243" t="str">
        <f t="shared" si="43"/>
        <v/>
      </c>
      <c r="D322" s="234" t="str">
        <f t="shared" si="44"/>
        <v/>
      </c>
      <c r="E322" s="234" t="str">
        <f t="shared" si="36"/>
        <v/>
      </c>
      <c r="F322" s="234" t="str">
        <f t="shared" si="37"/>
        <v/>
      </c>
      <c r="G322" s="234" t="str">
        <f t="shared" si="38"/>
        <v/>
      </c>
      <c r="H322" s="234" t="str">
        <f t="shared" si="39"/>
        <v/>
      </c>
      <c r="I322" s="234" t="str">
        <f t="shared" si="40"/>
        <v/>
      </c>
      <c r="J322" s="234" t="str">
        <f t="shared" si="41"/>
        <v/>
      </c>
      <c r="K322" s="234"/>
      <c r="L322" s="234"/>
      <c r="M322" s="234"/>
      <c r="N322" s="234"/>
      <c r="O322" s="234"/>
    </row>
    <row r="323" spans="2:15">
      <c r="B323" s="233" t="str">
        <f t="shared" si="42"/>
        <v/>
      </c>
      <c r="C323" s="243" t="str">
        <f t="shared" si="43"/>
        <v/>
      </c>
      <c r="D323" s="234" t="str">
        <f t="shared" si="44"/>
        <v/>
      </c>
      <c r="E323" s="234" t="str">
        <f t="shared" si="36"/>
        <v/>
      </c>
      <c r="F323" s="234" t="str">
        <f t="shared" si="37"/>
        <v/>
      </c>
      <c r="G323" s="234" t="str">
        <f t="shared" si="38"/>
        <v/>
      </c>
      <c r="H323" s="234" t="str">
        <f t="shared" si="39"/>
        <v/>
      </c>
      <c r="I323" s="234" t="str">
        <f t="shared" si="40"/>
        <v/>
      </c>
      <c r="J323" s="234" t="str">
        <f t="shared" si="41"/>
        <v/>
      </c>
      <c r="K323" s="234"/>
      <c r="L323" s="234"/>
      <c r="M323" s="234"/>
      <c r="N323" s="234"/>
      <c r="O323" s="234"/>
    </row>
    <row r="324" spans="2:15">
      <c r="B324" s="233" t="str">
        <f t="shared" si="42"/>
        <v/>
      </c>
      <c r="C324" s="243" t="str">
        <f t="shared" si="43"/>
        <v/>
      </c>
      <c r="D324" s="234" t="str">
        <f t="shared" si="44"/>
        <v/>
      </c>
      <c r="E324" s="234" t="str">
        <f t="shared" si="36"/>
        <v/>
      </c>
      <c r="F324" s="234" t="str">
        <f t="shared" si="37"/>
        <v/>
      </c>
      <c r="G324" s="234" t="str">
        <f t="shared" si="38"/>
        <v/>
      </c>
      <c r="H324" s="234" t="str">
        <f t="shared" si="39"/>
        <v/>
      </c>
      <c r="I324" s="234" t="str">
        <f t="shared" si="40"/>
        <v/>
      </c>
      <c r="J324" s="234" t="str">
        <f t="shared" si="41"/>
        <v/>
      </c>
      <c r="K324" s="234"/>
      <c r="L324" s="234"/>
      <c r="M324" s="234"/>
      <c r="N324" s="234"/>
      <c r="O324" s="234"/>
    </row>
    <row r="325" spans="2:15">
      <c r="B325" s="233" t="str">
        <f t="shared" si="42"/>
        <v/>
      </c>
      <c r="C325" s="243" t="str">
        <f t="shared" si="43"/>
        <v/>
      </c>
      <c r="D325" s="234" t="str">
        <f t="shared" si="44"/>
        <v/>
      </c>
      <c r="E325" s="234" t="str">
        <f t="shared" si="36"/>
        <v/>
      </c>
      <c r="F325" s="234" t="str">
        <f t="shared" si="37"/>
        <v/>
      </c>
      <c r="G325" s="234" t="str">
        <f t="shared" si="38"/>
        <v/>
      </c>
      <c r="H325" s="234" t="str">
        <f t="shared" si="39"/>
        <v/>
      </c>
      <c r="I325" s="234" t="str">
        <f t="shared" si="40"/>
        <v/>
      </c>
      <c r="J325" s="234" t="str">
        <f t="shared" si="41"/>
        <v/>
      </c>
      <c r="K325" s="234"/>
      <c r="L325" s="234"/>
      <c r="M325" s="234"/>
      <c r="N325" s="234"/>
      <c r="O325" s="234"/>
    </row>
    <row r="326" spans="2:15">
      <c r="B326" s="233" t="str">
        <f t="shared" si="42"/>
        <v/>
      </c>
      <c r="C326" s="243" t="str">
        <f t="shared" si="43"/>
        <v/>
      </c>
      <c r="D326" s="234" t="str">
        <f t="shared" si="44"/>
        <v/>
      </c>
      <c r="E326" s="234" t="str">
        <f t="shared" si="36"/>
        <v/>
      </c>
      <c r="F326" s="234" t="str">
        <f t="shared" si="37"/>
        <v/>
      </c>
      <c r="G326" s="234" t="str">
        <f t="shared" si="38"/>
        <v/>
      </c>
      <c r="H326" s="234" t="str">
        <f t="shared" si="39"/>
        <v/>
      </c>
      <c r="I326" s="234" t="str">
        <f t="shared" si="40"/>
        <v/>
      </c>
      <c r="J326" s="234" t="str">
        <f t="shared" si="41"/>
        <v/>
      </c>
      <c r="K326" s="234"/>
      <c r="L326" s="234"/>
      <c r="M326" s="234"/>
      <c r="N326" s="234"/>
      <c r="O326" s="234"/>
    </row>
    <row r="327" spans="2:15">
      <c r="B327" s="233" t="str">
        <f t="shared" si="42"/>
        <v/>
      </c>
      <c r="C327" s="243" t="str">
        <f t="shared" si="43"/>
        <v/>
      </c>
      <c r="D327" s="234" t="str">
        <f t="shared" si="44"/>
        <v/>
      </c>
      <c r="E327" s="234" t="str">
        <f t="shared" si="36"/>
        <v/>
      </c>
      <c r="F327" s="234" t="str">
        <f t="shared" si="37"/>
        <v/>
      </c>
      <c r="G327" s="234" t="str">
        <f t="shared" si="38"/>
        <v/>
      </c>
      <c r="H327" s="234" t="str">
        <f t="shared" si="39"/>
        <v/>
      </c>
      <c r="I327" s="234" t="str">
        <f t="shared" si="40"/>
        <v/>
      </c>
      <c r="J327" s="234" t="str">
        <f t="shared" si="41"/>
        <v/>
      </c>
      <c r="K327" s="234"/>
      <c r="L327" s="234"/>
      <c r="M327" s="234"/>
      <c r="N327" s="234"/>
      <c r="O327" s="234"/>
    </row>
    <row r="328" spans="2:15">
      <c r="B328" s="233" t="str">
        <f t="shared" si="42"/>
        <v/>
      </c>
      <c r="C328" s="243" t="str">
        <f t="shared" si="43"/>
        <v/>
      </c>
      <c r="D328" s="234" t="str">
        <f t="shared" si="44"/>
        <v/>
      </c>
      <c r="E328" s="234" t="str">
        <f t="shared" si="36"/>
        <v/>
      </c>
      <c r="F328" s="234" t="str">
        <f t="shared" si="37"/>
        <v/>
      </c>
      <c r="G328" s="234" t="str">
        <f t="shared" si="38"/>
        <v/>
      </c>
      <c r="H328" s="234" t="str">
        <f t="shared" si="39"/>
        <v/>
      </c>
      <c r="I328" s="234" t="str">
        <f t="shared" si="40"/>
        <v/>
      </c>
      <c r="J328" s="234" t="str">
        <f t="shared" si="41"/>
        <v/>
      </c>
      <c r="K328" s="234"/>
      <c r="L328" s="234"/>
      <c r="M328" s="234"/>
      <c r="N328" s="234"/>
      <c r="O328" s="234"/>
    </row>
    <row r="329" spans="2:15">
      <c r="B329" s="233" t="str">
        <f t="shared" si="42"/>
        <v/>
      </c>
      <c r="C329" s="243" t="str">
        <f t="shared" si="43"/>
        <v/>
      </c>
      <c r="D329" s="234" t="str">
        <f t="shared" si="44"/>
        <v/>
      </c>
      <c r="E329" s="234" t="str">
        <f t="shared" si="36"/>
        <v/>
      </c>
      <c r="F329" s="234" t="str">
        <f t="shared" si="37"/>
        <v/>
      </c>
      <c r="G329" s="234" t="str">
        <f t="shared" si="38"/>
        <v/>
      </c>
      <c r="H329" s="234" t="str">
        <f t="shared" si="39"/>
        <v/>
      </c>
      <c r="I329" s="234" t="str">
        <f t="shared" si="40"/>
        <v/>
      </c>
      <c r="J329" s="234" t="str">
        <f t="shared" si="41"/>
        <v/>
      </c>
      <c r="K329" s="234"/>
      <c r="L329" s="234"/>
      <c r="M329" s="234"/>
      <c r="N329" s="234"/>
      <c r="O329" s="234"/>
    </row>
    <row r="330" spans="2:15">
      <c r="B330" s="233" t="str">
        <f t="shared" si="42"/>
        <v/>
      </c>
      <c r="C330" s="243" t="str">
        <f t="shared" si="43"/>
        <v/>
      </c>
      <c r="D330" s="234" t="str">
        <f t="shared" si="44"/>
        <v/>
      </c>
      <c r="E330" s="234" t="str">
        <f t="shared" si="36"/>
        <v/>
      </c>
      <c r="F330" s="234" t="str">
        <f t="shared" si="37"/>
        <v/>
      </c>
      <c r="G330" s="234" t="str">
        <f t="shared" si="38"/>
        <v/>
      </c>
      <c r="H330" s="234" t="str">
        <f t="shared" si="39"/>
        <v/>
      </c>
      <c r="I330" s="234" t="str">
        <f t="shared" si="40"/>
        <v/>
      </c>
      <c r="J330" s="234" t="str">
        <f t="shared" si="41"/>
        <v/>
      </c>
      <c r="K330" s="234"/>
      <c r="L330" s="234"/>
      <c r="M330" s="234"/>
      <c r="N330" s="234"/>
      <c r="O330" s="234"/>
    </row>
    <row r="331" spans="2:15">
      <c r="B331" s="233" t="str">
        <f t="shared" si="42"/>
        <v/>
      </c>
      <c r="C331" s="243" t="str">
        <f t="shared" si="43"/>
        <v/>
      </c>
      <c r="D331" s="234" t="str">
        <f t="shared" si="44"/>
        <v/>
      </c>
      <c r="E331" s="234" t="str">
        <f t="shared" si="36"/>
        <v/>
      </c>
      <c r="F331" s="234" t="str">
        <f t="shared" si="37"/>
        <v/>
      </c>
      <c r="G331" s="234" t="str">
        <f t="shared" si="38"/>
        <v/>
      </c>
      <c r="H331" s="234" t="str">
        <f t="shared" si="39"/>
        <v/>
      </c>
      <c r="I331" s="234" t="str">
        <f t="shared" si="40"/>
        <v/>
      </c>
      <c r="J331" s="234" t="str">
        <f t="shared" si="41"/>
        <v/>
      </c>
      <c r="K331" s="234"/>
      <c r="L331" s="234"/>
      <c r="M331" s="234"/>
      <c r="N331" s="234"/>
      <c r="O331" s="234"/>
    </row>
    <row r="332" spans="2:15">
      <c r="B332" s="233" t="str">
        <f t="shared" si="42"/>
        <v/>
      </c>
      <c r="C332" s="243" t="str">
        <f t="shared" si="43"/>
        <v/>
      </c>
      <c r="D332" s="234" t="str">
        <f t="shared" si="44"/>
        <v/>
      </c>
      <c r="E332" s="234" t="str">
        <f t="shared" si="36"/>
        <v/>
      </c>
      <c r="F332" s="234" t="str">
        <f t="shared" si="37"/>
        <v/>
      </c>
      <c r="G332" s="234" t="str">
        <f t="shared" si="38"/>
        <v/>
      </c>
      <c r="H332" s="234" t="str">
        <f t="shared" si="39"/>
        <v/>
      </c>
      <c r="I332" s="234" t="str">
        <f t="shared" si="40"/>
        <v/>
      </c>
      <c r="J332" s="234" t="str">
        <f t="shared" si="41"/>
        <v/>
      </c>
      <c r="K332" s="234"/>
      <c r="L332" s="234"/>
      <c r="M332" s="234"/>
      <c r="N332" s="234"/>
      <c r="O332" s="234"/>
    </row>
    <row r="333" spans="2:15">
      <c r="B333" s="233" t="str">
        <f t="shared" si="42"/>
        <v/>
      </c>
      <c r="C333" s="243" t="str">
        <f t="shared" si="43"/>
        <v/>
      </c>
      <c r="D333" s="234" t="str">
        <f t="shared" si="44"/>
        <v/>
      </c>
      <c r="E333" s="234" t="str">
        <f t="shared" si="36"/>
        <v/>
      </c>
      <c r="F333" s="234" t="str">
        <f t="shared" si="37"/>
        <v/>
      </c>
      <c r="G333" s="234" t="str">
        <f t="shared" si="38"/>
        <v/>
      </c>
      <c r="H333" s="234" t="str">
        <f t="shared" si="39"/>
        <v/>
      </c>
      <c r="I333" s="234" t="str">
        <f t="shared" si="40"/>
        <v/>
      </c>
      <c r="J333" s="234" t="str">
        <f t="shared" si="41"/>
        <v/>
      </c>
      <c r="K333" s="234"/>
      <c r="L333" s="234"/>
      <c r="M333" s="234"/>
      <c r="N333" s="234"/>
      <c r="O333" s="234"/>
    </row>
    <row r="334" spans="2:15">
      <c r="B334" s="233" t="str">
        <f t="shared" si="42"/>
        <v/>
      </c>
      <c r="C334" s="243" t="str">
        <f t="shared" si="43"/>
        <v/>
      </c>
      <c r="D334" s="234" t="str">
        <f t="shared" si="44"/>
        <v/>
      </c>
      <c r="E334" s="234" t="str">
        <f t="shared" si="36"/>
        <v/>
      </c>
      <c r="F334" s="234" t="str">
        <f t="shared" si="37"/>
        <v/>
      </c>
      <c r="G334" s="234" t="str">
        <f t="shared" si="38"/>
        <v/>
      </c>
      <c r="H334" s="234" t="str">
        <f t="shared" si="39"/>
        <v/>
      </c>
      <c r="I334" s="234" t="str">
        <f t="shared" si="40"/>
        <v/>
      </c>
      <c r="J334" s="234" t="str">
        <f t="shared" si="41"/>
        <v/>
      </c>
      <c r="K334" s="234"/>
      <c r="L334" s="234"/>
      <c r="M334" s="234"/>
      <c r="N334" s="234"/>
      <c r="O334" s="234"/>
    </row>
    <row r="335" spans="2:15">
      <c r="B335" s="233" t="str">
        <f t="shared" si="42"/>
        <v/>
      </c>
      <c r="C335" s="243" t="str">
        <f t="shared" si="43"/>
        <v/>
      </c>
      <c r="D335" s="234" t="str">
        <f t="shared" si="44"/>
        <v/>
      </c>
      <c r="E335" s="234" t="str">
        <f t="shared" si="36"/>
        <v/>
      </c>
      <c r="F335" s="234" t="str">
        <f t="shared" si="37"/>
        <v/>
      </c>
      <c r="G335" s="234" t="str">
        <f t="shared" si="38"/>
        <v/>
      </c>
      <c r="H335" s="234" t="str">
        <f t="shared" si="39"/>
        <v/>
      </c>
      <c r="I335" s="234" t="str">
        <f t="shared" si="40"/>
        <v/>
      </c>
      <c r="J335" s="234" t="str">
        <f t="shared" si="41"/>
        <v/>
      </c>
      <c r="K335" s="234"/>
      <c r="L335" s="234"/>
      <c r="M335" s="234"/>
      <c r="N335" s="234"/>
      <c r="O335" s="234"/>
    </row>
    <row r="336" spans="2:15">
      <c r="B336" s="233" t="str">
        <f t="shared" si="42"/>
        <v/>
      </c>
      <c r="C336" s="243" t="str">
        <f t="shared" si="43"/>
        <v/>
      </c>
      <c r="D336" s="234" t="str">
        <f t="shared" si="44"/>
        <v/>
      </c>
      <c r="E336" s="234" t="str">
        <f t="shared" si="36"/>
        <v/>
      </c>
      <c r="F336" s="234" t="str">
        <f t="shared" si="37"/>
        <v/>
      </c>
      <c r="G336" s="234" t="str">
        <f t="shared" si="38"/>
        <v/>
      </c>
      <c r="H336" s="234" t="str">
        <f t="shared" si="39"/>
        <v/>
      </c>
      <c r="I336" s="234" t="str">
        <f t="shared" si="40"/>
        <v/>
      </c>
      <c r="J336" s="234" t="str">
        <f t="shared" si="41"/>
        <v/>
      </c>
      <c r="K336" s="234"/>
      <c r="L336" s="234"/>
      <c r="M336" s="234"/>
      <c r="N336" s="234"/>
      <c r="O336" s="234"/>
    </row>
    <row r="337" spans="2:15">
      <c r="B337" s="233" t="str">
        <f t="shared" si="42"/>
        <v/>
      </c>
      <c r="C337" s="243" t="str">
        <f t="shared" si="43"/>
        <v/>
      </c>
      <c r="D337" s="234" t="str">
        <f t="shared" si="44"/>
        <v/>
      </c>
      <c r="E337" s="234" t="str">
        <f t="shared" si="36"/>
        <v/>
      </c>
      <c r="F337" s="234" t="str">
        <f t="shared" si="37"/>
        <v/>
      </c>
      <c r="G337" s="234" t="str">
        <f t="shared" si="38"/>
        <v/>
      </c>
      <c r="H337" s="234" t="str">
        <f t="shared" si="39"/>
        <v/>
      </c>
      <c r="I337" s="234" t="str">
        <f t="shared" si="40"/>
        <v/>
      </c>
      <c r="J337" s="234" t="str">
        <f t="shared" si="41"/>
        <v/>
      </c>
      <c r="K337" s="234"/>
      <c r="L337" s="234"/>
      <c r="M337" s="234"/>
      <c r="N337" s="234"/>
      <c r="O337" s="234"/>
    </row>
    <row r="338" spans="2:15">
      <c r="B338" s="233" t="str">
        <f t="shared" si="42"/>
        <v/>
      </c>
      <c r="C338" s="243" t="str">
        <f t="shared" si="43"/>
        <v/>
      </c>
      <c r="D338" s="234" t="str">
        <f t="shared" si="44"/>
        <v/>
      </c>
      <c r="E338" s="234" t="str">
        <f t="shared" si="36"/>
        <v/>
      </c>
      <c r="F338" s="234" t="str">
        <f t="shared" si="37"/>
        <v/>
      </c>
      <c r="G338" s="234" t="str">
        <f t="shared" si="38"/>
        <v/>
      </c>
      <c r="H338" s="234" t="str">
        <f t="shared" si="39"/>
        <v/>
      </c>
      <c r="I338" s="234" t="str">
        <f t="shared" si="40"/>
        <v/>
      </c>
      <c r="J338" s="234" t="str">
        <f t="shared" si="41"/>
        <v/>
      </c>
      <c r="K338" s="234"/>
      <c r="L338" s="234"/>
      <c r="M338" s="234"/>
      <c r="N338" s="234"/>
      <c r="O338" s="234"/>
    </row>
    <row r="339" spans="2:15">
      <c r="B339" s="233" t="str">
        <f t="shared" si="42"/>
        <v/>
      </c>
      <c r="C339" s="243" t="str">
        <f t="shared" si="43"/>
        <v/>
      </c>
      <c r="D339" s="234" t="str">
        <f t="shared" si="44"/>
        <v/>
      </c>
      <c r="E339" s="234" t="str">
        <f t="shared" si="36"/>
        <v/>
      </c>
      <c r="F339" s="234" t="str">
        <f t="shared" si="37"/>
        <v/>
      </c>
      <c r="G339" s="234" t="str">
        <f t="shared" si="38"/>
        <v/>
      </c>
      <c r="H339" s="234" t="str">
        <f t="shared" si="39"/>
        <v/>
      </c>
      <c r="I339" s="234" t="str">
        <f t="shared" si="40"/>
        <v/>
      </c>
      <c r="J339" s="234" t="str">
        <f t="shared" si="41"/>
        <v/>
      </c>
      <c r="K339" s="234"/>
      <c r="L339" s="234"/>
      <c r="M339" s="234"/>
      <c r="N339" s="234"/>
      <c r="O339" s="234"/>
    </row>
    <row r="340" spans="2:15">
      <c r="B340" s="233" t="str">
        <f t="shared" si="42"/>
        <v/>
      </c>
      <c r="C340" s="243" t="str">
        <f t="shared" si="43"/>
        <v/>
      </c>
      <c r="D340" s="234" t="str">
        <f t="shared" si="44"/>
        <v/>
      </c>
      <c r="E340" s="234" t="str">
        <f t="shared" si="36"/>
        <v/>
      </c>
      <c r="F340" s="234" t="str">
        <f t="shared" si="37"/>
        <v/>
      </c>
      <c r="G340" s="234" t="str">
        <f t="shared" si="38"/>
        <v/>
      </c>
      <c r="H340" s="234" t="str">
        <f t="shared" si="39"/>
        <v/>
      </c>
      <c r="I340" s="234" t="str">
        <f t="shared" si="40"/>
        <v/>
      </c>
      <c r="J340" s="234" t="str">
        <f t="shared" si="41"/>
        <v/>
      </c>
      <c r="K340" s="234"/>
      <c r="L340" s="234"/>
      <c r="M340" s="234"/>
      <c r="N340" s="234"/>
      <c r="O340" s="234"/>
    </row>
    <row r="341" spans="2:15">
      <c r="B341" s="233" t="str">
        <f t="shared" si="42"/>
        <v/>
      </c>
      <c r="C341" s="243" t="str">
        <f t="shared" si="43"/>
        <v/>
      </c>
      <c r="D341" s="234" t="str">
        <f t="shared" si="44"/>
        <v/>
      </c>
      <c r="E341" s="234" t="str">
        <f t="shared" si="36"/>
        <v/>
      </c>
      <c r="F341" s="234" t="str">
        <f t="shared" si="37"/>
        <v/>
      </c>
      <c r="G341" s="234" t="str">
        <f t="shared" si="38"/>
        <v/>
      </c>
      <c r="H341" s="234" t="str">
        <f t="shared" si="39"/>
        <v/>
      </c>
      <c r="I341" s="234" t="str">
        <f t="shared" si="40"/>
        <v/>
      </c>
      <c r="J341" s="234" t="str">
        <f t="shared" si="41"/>
        <v/>
      </c>
      <c r="K341" s="234"/>
      <c r="L341" s="234"/>
      <c r="M341" s="234"/>
      <c r="N341" s="234"/>
      <c r="O341" s="234"/>
    </row>
    <row r="342" spans="2:15">
      <c r="B342" s="233" t="str">
        <f t="shared" si="42"/>
        <v/>
      </c>
      <c r="C342" s="243" t="str">
        <f t="shared" si="43"/>
        <v/>
      </c>
      <c r="D342" s="234" t="str">
        <f t="shared" si="44"/>
        <v/>
      </c>
      <c r="E342" s="234" t="str">
        <f t="shared" si="36"/>
        <v/>
      </c>
      <c r="F342" s="234" t="str">
        <f t="shared" si="37"/>
        <v/>
      </c>
      <c r="G342" s="234" t="str">
        <f t="shared" si="38"/>
        <v/>
      </c>
      <c r="H342" s="234" t="str">
        <f t="shared" si="39"/>
        <v/>
      </c>
      <c r="I342" s="234" t="str">
        <f t="shared" si="40"/>
        <v/>
      </c>
      <c r="J342" s="234" t="str">
        <f t="shared" si="41"/>
        <v/>
      </c>
      <c r="K342" s="234"/>
      <c r="L342" s="234"/>
      <c r="M342" s="234"/>
      <c r="N342" s="234"/>
      <c r="O342" s="234"/>
    </row>
    <row r="343" spans="2:15">
      <c r="B343" s="233" t="str">
        <f t="shared" si="42"/>
        <v/>
      </c>
      <c r="C343" s="243" t="str">
        <f t="shared" si="43"/>
        <v/>
      </c>
      <c r="D343" s="234" t="str">
        <f t="shared" si="44"/>
        <v/>
      </c>
      <c r="E343" s="234" t="str">
        <f t="shared" si="36"/>
        <v/>
      </c>
      <c r="F343" s="234" t="str">
        <f t="shared" si="37"/>
        <v/>
      </c>
      <c r="G343" s="234" t="str">
        <f t="shared" si="38"/>
        <v/>
      </c>
      <c r="H343" s="234" t="str">
        <f t="shared" si="39"/>
        <v/>
      </c>
      <c r="I343" s="234" t="str">
        <f t="shared" si="40"/>
        <v/>
      </c>
      <c r="J343" s="234" t="str">
        <f t="shared" si="41"/>
        <v/>
      </c>
      <c r="K343" s="234"/>
      <c r="L343" s="234"/>
      <c r="M343" s="234"/>
      <c r="N343" s="234"/>
      <c r="O343" s="234"/>
    </row>
    <row r="344" spans="2:15">
      <c r="B344" s="233" t="str">
        <f t="shared" si="42"/>
        <v/>
      </c>
      <c r="C344" s="243" t="str">
        <f t="shared" si="43"/>
        <v/>
      </c>
      <c r="D344" s="234" t="str">
        <f t="shared" si="44"/>
        <v/>
      </c>
      <c r="E344" s="234" t="str">
        <f t="shared" si="36"/>
        <v/>
      </c>
      <c r="F344" s="234" t="str">
        <f t="shared" si="37"/>
        <v/>
      </c>
      <c r="G344" s="234" t="str">
        <f t="shared" si="38"/>
        <v/>
      </c>
      <c r="H344" s="234" t="str">
        <f t="shared" si="39"/>
        <v/>
      </c>
      <c r="I344" s="234" t="str">
        <f t="shared" si="40"/>
        <v/>
      </c>
      <c r="J344" s="234" t="str">
        <f t="shared" si="41"/>
        <v/>
      </c>
      <c r="K344" s="234"/>
      <c r="L344" s="234"/>
      <c r="M344" s="234"/>
      <c r="N344" s="234"/>
      <c r="O344" s="234"/>
    </row>
    <row r="345" spans="2:15">
      <c r="B345" s="233" t="str">
        <f t="shared" si="42"/>
        <v/>
      </c>
      <c r="C345" s="243" t="str">
        <f t="shared" si="43"/>
        <v/>
      </c>
      <c r="D345" s="234" t="str">
        <f t="shared" si="44"/>
        <v/>
      </c>
      <c r="E345" s="234" t="str">
        <f t="shared" ref="E345:E384" si="45">IF(B345&lt;&gt;"",$E$17,"")</f>
        <v/>
      </c>
      <c r="F345" s="234" t="str">
        <f t="shared" ref="F345:F384" si="46">IF(B345&lt;&gt;"",$E$13,"")</f>
        <v/>
      </c>
      <c r="G345" s="234" t="str">
        <f t="shared" ref="G345:G384" si="47">IF(B345&lt;&gt;"",E345+F345,"")</f>
        <v/>
      </c>
      <c r="H345" s="234" t="str">
        <f t="shared" ref="H345:H384" si="48">IF(B345&lt;&gt;"",E345+F345-I345,"")</f>
        <v/>
      </c>
      <c r="I345" s="234" t="str">
        <f t="shared" ref="I345:I384" si="49">IF(B345&lt;&gt;"",D345*$E$10/12,"")</f>
        <v/>
      </c>
      <c r="J345" s="234" t="str">
        <f t="shared" ref="J345:J384" si="50">IF(B345&lt;&gt;"",D345-H345,"")</f>
        <v/>
      </c>
      <c r="K345" s="234"/>
      <c r="L345" s="234"/>
      <c r="M345" s="234"/>
      <c r="N345" s="234"/>
      <c r="O345" s="234"/>
    </row>
    <row r="346" spans="2:15">
      <c r="B346" s="233" t="str">
        <f t="shared" ref="B346:B384" si="51">IF(OR(ISERROR(IF(B345+1&lt;=$E$18,B345+1,"")),J345&lt;=0),"",IF(B345+1&lt;=$E$18,B345+1,""))</f>
        <v/>
      </c>
      <c r="C346" s="243" t="str">
        <f t="shared" ref="C346:C384" si="52">IF(B346&lt;&gt;"",DATE(YEAR(C345),MONTH(C345)+1,DAY(C345)),"")</f>
        <v/>
      </c>
      <c r="D346" s="234" t="str">
        <f t="shared" ref="D346:D384" si="53">IF(B346&lt;&gt;"",J345,"")</f>
        <v/>
      </c>
      <c r="E346" s="234" t="str">
        <f t="shared" si="45"/>
        <v/>
      </c>
      <c r="F346" s="234" t="str">
        <f t="shared" si="46"/>
        <v/>
      </c>
      <c r="G346" s="234" t="str">
        <f t="shared" si="47"/>
        <v/>
      </c>
      <c r="H346" s="234" t="str">
        <f t="shared" si="48"/>
        <v/>
      </c>
      <c r="I346" s="234" t="str">
        <f t="shared" si="49"/>
        <v/>
      </c>
      <c r="J346" s="234" t="str">
        <f t="shared" si="50"/>
        <v/>
      </c>
      <c r="K346" s="234"/>
      <c r="L346" s="234"/>
      <c r="M346" s="234"/>
      <c r="N346" s="234"/>
      <c r="O346" s="234"/>
    </row>
    <row r="347" spans="2:15">
      <c r="B347" s="233" t="str">
        <f t="shared" si="51"/>
        <v/>
      </c>
      <c r="C347" s="243" t="str">
        <f t="shared" si="52"/>
        <v/>
      </c>
      <c r="D347" s="234" t="str">
        <f t="shared" si="53"/>
        <v/>
      </c>
      <c r="E347" s="234" t="str">
        <f t="shared" si="45"/>
        <v/>
      </c>
      <c r="F347" s="234" t="str">
        <f t="shared" si="46"/>
        <v/>
      </c>
      <c r="G347" s="234" t="str">
        <f t="shared" si="47"/>
        <v/>
      </c>
      <c r="H347" s="234" t="str">
        <f t="shared" si="48"/>
        <v/>
      </c>
      <c r="I347" s="234" t="str">
        <f t="shared" si="49"/>
        <v/>
      </c>
      <c r="J347" s="234" t="str">
        <f t="shared" si="50"/>
        <v/>
      </c>
      <c r="K347" s="234"/>
      <c r="L347" s="234"/>
      <c r="M347" s="234"/>
      <c r="N347" s="234"/>
      <c r="O347" s="234"/>
    </row>
    <row r="348" spans="2:15">
      <c r="B348" s="233" t="str">
        <f t="shared" si="51"/>
        <v/>
      </c>
      <c r="C348" s="243" t="str">
        <f t="shared" si="52"/>
        <v/>
      </c>
      <c r="D348" s="234" t="str">
        <f t="shared" si="53"/>
        <v/>
      </c>
      <c r="E348" s="234" t="str">
        <f t="shared" si="45"/>
        <v/>
      </c>
      <c r="F348" s="234" t="str">
        <f t="shared" si="46"/>
        <v/>
      </c>
      <c r="G348" s="234" t="str">
        <f t="shared" si="47"/>
        <v/>
      </c>
      <c r="H348" s="234" t="str">
        <f t="shared" si="48"/>
        <v/>
      </c>
      <c r="I348" s="234" t="str">
        <f t="shared" si="49"/>
        <v/>
      </c>
      <c r="J348" s="234" t="str">
        <f t="shared" si="50"/>
        <v/>
      </c>
      <c r="K348" s="234"/>
      <c r="L348" s="234"/>
      <c r="M348" s="234"/>
      <c r="N348" s="234"/>
      <c r="O348" s="234"/>
    </row>
    <row r="349" spans="2:15">
      <c r="B349" s="233" t="str">
        <f t="shared" si="51"/>
        <v/>
      </c>
      <c r="C349" s="243" t="str">
        <f t="shared" si="52"/>
        <v/>
      </c>
      <c r="D349" s="234" t="str">
        <f t="shared" si="53"/>
        <v/>
      </c>
      <c r="E349" s="234" t="str">
        <f t="shared" si="45"/>
        <v/>
      </c>
      <c r="F349" s="234" t="str">
        <f t="shared" si="46"/>
        <v/>
      </c>
      <c r="G349" s="234" t="str">
        <f t="shared" si="47"/>
        <v/>
      </c>
      <c r="H349" s="234" t="str">
        <f t="shared" si="48"/>
        <v/>
      </c>
      <c r="I349" s="234" t="str">
        <f t="shared" si="49"/>
        <v/>
      </c>
      <c r="J349" s="234" t="str">
        <f t="shared" si="50"/>
        <v/>
      </c>
      <c r="K349" s="234"/>
      <c r="L349" s="234"/>
      <c r="M349" s="234"/>
      <c r="N349" s="234"/>
      <c r="O349" s="234"/>
    </row>
    <row r="350" spans="2:15">
      <c r="B350" s="233" t="str">
        <f t="shared" si="51"/>
        <v/>
      </c>
      <c r="C350" s="243" t="str">
        <f t="shared" si="52"/>
        <v/>
      </c>
      <c r="D350" s="234" t="str">
        <f t="shared" si="53"/>
        <v/>
      </c>
      <c r="E350" s="234" t="str">
        <f t="shared" si="45"/>
        <v/>
      </c>
      <c r="F350" s="234" t="str">
        <f t="shared" si="46"/>
        <v/>
      </c>
      <c r="G350" s="234" t="str">
        <f t="shared" si="47"/>
        <v/>
      </c>
      <c r="H350" s="234" t="str">
        <f t="shared" si="48"/>
        <v/>
      </c>
      <c r="I350" s="234" t="str">
        <f t="shared" si="49"/>
        <v/>
      </c>
      <c r="J350" s="234" t="str">
        <f t="shared" si="50"/>
        <v/>
      </c>
      <c r="K350" s="234"/>
      <c r="L350" s="234"/>
      <c r="M350" s="234"/>
      <c r="N350" s="234"/>
      <c r="O350" s="234"/>
    </row>
    <row r="351" spans="2:15">
      <c r="B351" s="233" t="str">
        <f t="shared" si="51"/>
        <v/>
      </c>
      <c r="C351" s="243" t="str">
        <f t="shared" si="52"/>
        <v/>
      </c>
      <c r="D351" s="234" t="str">
        <f t="shared" si="53"/>
        <v/>
      </c>
      <c r="E351" s="234" t="str">
        <f t="shared" si="45"/>
        <v/>
      </c>
      <c r="F351" s="234" t="str">
        <f t="shared" si="46"/>
        <v/>
      </c>
      <c r="G351" s="234" t="str">
        <f t="shared" si="47"/>
        <v/>
      </c>
      <c r="H351" s="234" t="str">
        <f t="shared" si="48"/>
        <v/>
      </c>
      <c r="I351" s="234" t="str">
        <f t="shared" si="49"/>
        <v/>
      </c>
      <c r="J351" s="234" t="str">
        <f t="shared" si="50"/>
        <v/>
      </c>
      <c r="K351" s="234"/>
      <c r="L351" s="234"/>
      <c r="M351" s="234"/>
      <c r="N351" s="234"/>
      <c r="O351" s="234"/>
    </row>
    <row r="352" spans="2:15">
      <c r="B352" s="233" t="str">
        <f t="shared" si="51"/>
        <v/>
      </c>
      <c r="C352" s="243" t="str">
        <f t="shared" si="52"/>
        <v/>
      </c>
      <c r="D352" s="234" t="str">
        <f t="shared" si="53"/>
        <v/>
      </c>
      <c r="E352" s="234" t="str">
        <f t="shared" si="45"/>
        <v/>
      </c>
      <c r="F352" s="234" t="str">
        <f t="shared" si="46"/>
        <v/>
      </c>
      <c r="G352" s="234" t="str">
        <f t="shared" si="47"/>
        <v/>
      </c>
      <c r="H352" s="234" t="str">
        <f t="shared" si="48"/>
        <v/>
      </c>
      <c r="I352" s="234" t="str">
        <f t="shared" si="49"/>
        <v/>
      </c>
      <c r="J352" s="234" t="str">
        <f t="shared" si="50"/>
        <v/>
      </c>
      <c r="K352" s="234"/>
      <c r="L352" s="234"/>
      <c r="M352" s="234"/>
      <c r="N352" s="234"/>
      <c r="O352" s="234"/>
    </row>
    <row r="353" spans="2:15">
      <c r="B353" s="233" t="str">
        <f t="shared" si="51"/>
        <v/>
      </c>
      <c r="C353" s="243" t="str">
        <f t="shared" si="52"/>
        <v/>
      </c>
      <c r="D353" s="234" t="str">
        <f t="shared" si="53"/>
        <v/>
      </c>
      <c r="E353" s="234" t="str">
        <f t="shared" si="45"/>
        <v/>
      </c>
      <c r="F353" s="234" t="str">
        <f t="shared" si="46"/>
        <v/>
      </c>
      <c r="G353" s="234" t="str">
        <f t="shared" si="47"/>
        <v/>
      </c>
      <c r="H353" s="234" t="str">
        <f t="shared" si="48"/>
        <v/>
      </c>
      <c r="I353" s="234" t="str">
        <f t="shared" si="49"/>
        <v/>
      </c>
      <c r="J353" s="234" t="str">
        <f t="shared" si="50"/>
        <v/>
      </c>
      <c r="K353" s="234"/>
      <c r="L353" s="234"/>
      <c r="M353" s="234"/>
      <c r="N353" s="234"/>
      <c r="O353" s="234"/>
    </row>
    <row r="354" spans="2:15">
      <c r="B354" s="233" t="str">
        <f t="shared" si="51"/>
        <v/>
      </c>
      <c r="C354" s="243" t="str">
        <f t="shared" si="52"/>
        <v/>
      </c>
      <c r="D354" s="234" t="str">
        <f t="shared" si="53"/>
        <v/>
      </c>
      <c r="E354" s="234" t="str">
        <f t="shared" si="45"/>
        <v/>
      </c>
      <c r="F354" s="234" t="str">
        <f t="shared" si="46"/>
        <v/>
      </c>
      <c r="G354" s="234" t="str">
        <f t="shared" si="47"/>
        <v/>
      </c>
      <c r="H354" s="234" t="str">
        <f t="shared" si="48"/>
        <v/>
      </c>
      <c r="I354" s="234" t="str">
        <f t="shared" si="49"/>
        <v/>
      </c>
      <c r="J354" s="234" t="str">
        <f t="shared" si="50"/>
        <v/>
      </c>
      <c r="K354" s="234"/>
      <c r="L354" s="234"/>
      <c r="M354" s="234"/>
      <c r="N354" s="234"/>
      <c r="O354" s="234"/>
    </row>
    <row r="355" spans="2:15">
      <c r="B355" s="233" t="str">
        <f t="shared" si="51"/>
        <v/>
      </c>
      <c r="C355" s="243" t="str">
        <f t="shared" si="52"/>
        <v/>
      </c>
      <c r="D355" s="234" t="str">
        <f t="shared" si="53"/>
        <v/>
      </c>
      <c r="E355" s="234" t="str">
        <f t="shared" si="45"/>
        <v/>
      </c>
      <c r="F355" s="234" t="str">
        <f t="shared" si="46"/>
        <v/>
      </c>
      <c r="G355" s="234" t="str">
        <f t="shared" si="47"/>
        <v/>
      </c>
      <c r="H355" s="234" t="str">
        <f t="shared" si="48"/>
        <v/>
      </c>
      <c r="I355" s="234" t="str">
        <f t="shared" si="49"/>
        <v/>
      </c>
      <c r="J355" s="234" t="str">
        <f t="shared" si="50"/>
        <v/>
      </c>
      <c r="K355" s="234"/>
      <c r="L355" s="234"/>
      <c r="M355" s="234"/>
      <c r="N355" s="234"/>
      <c r="O355" s="234"/>
    </row>
    <row r="356" spans="2:15">
      <c r="B356" s="233" t="str">
        <f t="shared" si="51"/>
        <v/>
      </c>
      <c r="C356" s="243" t="str">
        <f t="shared" si="52"/>
        <v/>
      </c>
      <c r="D356" s="234" t="str">
        <f t="shared" si="53"/>
        <v/>
      </c>
      <c r="E356" s="234" t="str">
        <f t="shared" si="45"/>
        <v/>
      </c>
      <c r="F356" s="234" t="str">
        <f t="shared" si="46"/>
        <v/>
      </c>
      <c r="G356" s="234" t="str">
        <f t="shared" si="47"/>
        <v/>
      </c>
      <c r="H356" s="234" t="str">
        <f t="shared" si="48"/>
        <v/>
      </c>
      <c r="I356" s="234" t="str">
        <f t="shared" si="49"/>
        <v/>
      </c>
      <c r="J356" s="234" t="str">
        <f t="shared" si="50"/>
        <v/>
      </c>
      <c r="K356" s="234"/>
      <c r="L356" s="234"/>
      <c r="M356" s="234"/>
      <c r="N356" s="234"/>
      <c r="O356" s="234"/>
    </row>
    <row r="357" spans="2:15">
      <c r="B357" s="233" t="str">
        <f t="shared" si="51"/>
        <v/>
      </c>
      <c r="C357" s="243" t="str">
        <f t="shared" si="52"/>
        <v/>
      </c>
      <c r="D357" s="234" t="str">
        <f t="shared" si="53"/>
        <v/>
      </c>
      <c r="E357" s="234" t="str">
        <f t="shared" si="45"/>
        <v/>
      </c>
      <c r="F357" s="234" t="str">
        <f t="shared" si="46"/>
        <v/>
      </c>
      <c r="G357" s="234" t="str">
        <f t="shared" si="47"/>
        <v/>
      </c>
      <c r="H357" s="234" t="str">
        <f t="shared" si="48"/>
        <v/>
      </c>
      <c r="I357" s="234" t="str">
        <f t="shared" si="49"/>
        <v/>
      </c>
      <c r="J357" s="234" t="str">
        <f t="shared" si="50"/>
        <v/>
      </c>
      <c r="K357" s="234"/>
      <c r="L357" s="234"/>
      <c r="M357" s="234"/>
      <c r="N357" s="234"/>
      <c r="O357" s="234"/>
    </row>
    <row r="358" spans="2:15">
      <c r="B358" s="233" t="str">
        <f t="shared" si="51"/>
        <v/>
      </c>
      <c r="C358" s="243" t="str">
        <f t="shared" si="52"/>
        <v/>
      </c>
      <c r="D358" s="234" t="str">
        <f t="shared" si="53"/>
        <v/>
      </c>
      <c r="E358" s="234" t="str">
        <f t="shared" si="45"/>
        <v/>
      </c>
      <c r="F358" s="234" t="str">
        <f t="shared" si="46"/>
        <v/>
      </c>
      <c r="G358" s="234" t="str">
        <f t="shared" si="47"/>
        <v/>
      </c>
      <c r="H358" s="234" t="str">
        <f t="shared" si="48"/>
        <v/>
      </c>
      <c r="I358" s="234" t="str">
        <f t="shared" si="49"/>
        <v/>
      </c>
      <c r="J358" s="234" t="str">
        <f t="shared" si="50"/>
        <v/>
      </c>
      <c r="K358" s="234"/>
      <c r="L358" s="234"/>
      <c r="M358" s="234"/>
      <c r="N358" s="234"/>
      <c r="O358" s="234"/>
    </row>
    <row r="359" spans="2:15">
      <c r="B359" s="233" t="str">
        <f t="shared" si="51"/>
        <v/>
      </c>
      <c r="C359" s="243" t="str">
        <f t="shared" si="52"/>
        <v/>
      </c>
      <c r="D359" s="234" t="str">
        <f t="shared" si="53"/>
        <v/>
      </c>
      <c r="E359" s="234" t="str">
        <f t="shared" si="45"/>
        <v/>
      </c>
      <c r="F359" s="234" t="str">
        <f t="shared" si="46"/>
        <v/>
      </c>
      <c r="G359" s="234" t="str">
        <f t="shared" si="47"/>
        <v/>
      </c>
      <c r="H359" s="234" t="str">
        <f t="shared" si="48"/>
        <v/>
      </c>
      <c r="I359" s="234" t="str">
        <f t="shared" si="49"/>
        <v/>
      </c>
      <c r="J359" s="234" t="str">
        <f t="shared" si="50"/>
        <v/>
      </c>
      <c r="K359" s="234"/>
      <c r="L359" s="234"/>
      <c r="M359" s="234"/>
      <c r="N359" s="234"/>
      <c r="O359" s="234"/>
    </row>
    <row r="360" spans="2:15">
      <c r="B360" s="233" t="str">
        <f t="shared" si="51"/>
        <v/>
      </c>
      <c r="C360" s="243" t="str">
        <f t="shared" si="52"/>
        <v/>
      </c>
      <c r="D360" s="234" t="str">
        <f t="shared" si="53"/>
        <v/>
      </c>
      <c r="E360" s="234" t="str">
        <f t="shared" si="45"/>
        <v/>
      </c>
      <c r="F360" s="234" t="str">
        <f t="shared" si="46"/>
        <v/>
      </c>
      <c r="G360" s="234" t="str">
        <f t="shared" si="47"/>
        <v/>
      </c>
      <c r="H360" s="234" t="str">
        <f t="shared" si="48"/>
        <v/>
      </c>
      <c r="I360" s="234" t="str">
        <f t="shared" si="49"/>
        <v/>
      </c>
      <c r="J360" s="234" t="str">
        <f t="shared" si="50"/>
        <v/>
      </c>
      <c r="K360" s="234"/>
      <c r="L360" s="234"/>
      <c r="M360" s="234"/>
      <c r="N360" s="234"/>
      <c r="O360" s="234"/>
    </row>
    <row r="361" spans="2:15">
      <c r="B361" s="233" t="str">
        <f t="shared" si="51"/>
        <v/>
      </c>
      <c r="C361" s="243" t="str">
        <f t="shared" si="52"/>
        <v/>
      </c>
      <c r="D361" s="234" t="str">
        <f t="shared" si="53"/>
        <v/>
      </c>
      <c r="E361" s="234" t="str">
        <f t="shared" si="45"/>
        <v/>
      </c>
      <c r="F361" s="234" t="str">
        <f t="shared" si="46"/>
        <v/>
      </c>
      <c r="G361" s="234" t="str">
        <f t="shared" si="47"/>
        <v/>
      </c>
      <c r="H361" s="234" t="str">
        <f t="shared" si="48"/>
        <v/>
      </c>
      <c r="I361" s="234" t="str">
        <f t="shared" si="49"/>
        <v/>
      </c>
      <c r="J361" s="234" t="str">
        <f t="shared" si="50"/>
        <v/>
      </c>
      <c r="K361" s="234"/>
      <c r="L361" s="234"/>
      <c r="M361" s="234"/>
      <c r="N361" s="234"/>
      <c r="O361" s="234"/>
    </row>
    <row r="362" spans="2:15">
      <c r="B362" s="233" t="str">
        <f t="shared" si="51"/>
        <v/>
      </c>
      <c r="C362" s="243" t="str">
        <f t="shared" si="52"/>
        <v/>
      </c>
      <c r="D362" s="234" t="str">
        <f t="shared" si="53"/>
        <v/>
      </c>
      <c r="E362" s="234" t="str">
        <f t="shared" si="45"/>
        <v/>
      </c>
      <c r="F362" s="234" t="str">
        <f t="shared" si="46"/>
        <v/>
      </c>
      <c r="G362" s="234" t="str">
        <f t="shared" si="47"/>
        <v/>
      </c>
      <c r="H362" s="234" t="str">
        <f t="shared" si="48"/>
        <v/>
      </c>
      <c r="I362" s="234" t="str">
        <f t="shared" si="49"/>
        <v/>
      </c>
      <c r="J362" s="234" t="str">
        <f t="shared" si="50"/>
        <v/>
      </c>
      <c r="K362" s="234"/>
      <c r="L362" s="234"/>
      <c r="M362" s="234"/>
      <c r="N362" s="234"/>
      <c r="O362" s="234"/>
    </row>
    <row r="363" spans="2:15">
      <c r="B363" s="233" t="str">
        <f t="shared" si="51"/>
        <v/>
      </c>
      <c r="C363" s="243" t="str">
        <f t="shared" si="52"/>
        <v/>
      </c>
      <c r="D363" s="234" t="str">
        <f t="shared" si="53"/>
        <v/>
      </c>
      <c r="E363" s="234" t="str">
        <f t="shared" si="45"/>
        <v/>
      </c>
      <c r="F363" s="234" t="str">
        <f t="shared" si="46"/>
        <v/>
      </c>
      <c r="G363" s="234" t="str">
        <f t="shared" si="47"/>
        <v/>
      </c>
      <c r="H363" s="234" t="str">
        <f t="shared" si="48"/>
        <v/>
      </c>
      <c r="I363" s="234" t="str">
        <f t="shared" si="49"/>
        <v/>
      </c>
      <c r="J363" s="234" t="str">
        <f t="shared" si="50"/>
        <v/>
      </c>
      <c r="K363" s="234"/>
      <c r="L363" s="234"/>
      <c r="M363" s="234"/>
      <c r="N363" s="234"/>
      <c r="O363" s="234"/>
    </row>
    <row r="364" spans="2:15">
      <c r="B364" s="233" t="str">
        <f t="shared" si="51"/>
        <v/>
      </c>
      <c r="C364" s="243" t="str">
        <f t="shared" si="52"/>
        <v/>
      </c>
      <c r="D364" s="234" t="str">
        <f t="shared" si="53"/>
        <v/>
      </c>
      <c r="E364" s="234" t="str">
        <f t="shared" si="45"/>
        <v/>
      </c>
      <c r="F364" s="234" t="str">
        <f t="shared" si="46"/>
        <v/>
      </c>
      <c r="G364" s="234" t="str">
        <f t="shared" si="47"/>
        <v/>
      </c>
      <c r="H364" s="234" t="str">
        <f t="shared" si="48"/>
        <v/>
      </c>
      <c r="I364" s="234" t="str">
        <f t="shared" si="49"/>
        <v/>
      </c>
      <c r="J364" s="234" t="str">
        <f t="shared" si="50"/>
        <v/>
      </c>
      <c r="K364" s="234"/>
      <c r="L364" s="234"/>
      <c r="M364" s="234"/>
      <c r="N364" s="234"/>
      <c r="O364" s="234"/>
    </row>
    <row r="365" spans="2:15">
      <c r="B365" s="233" t="str">
        <f t="shared" si="51"/>
        <v/>
      </c>
      <c r="C365" s="243" t="str">
        <f t="shared" si="52"/>
        <v/>
      </c>
      <c r="D365" s="234" t="str">
        <f t="shared" si="53"/>
        <v/>
      </c>
      <c r="E365" s="234" t="str">
        <f t="shared" si="45"/>
        <v/>
      </c>
      <c r="F365" s="234" t="str">
        <f t="shared" si="46"/>
        <v/>
      </c>
      <c r="G365" s="234" t="str">
        <f t="shared" si="47"/>
        <v/>
      </c>
      <c r="H365" s="234" t="str">
        <f t="shared" si="48"/>
        <v/>
      </c>
      <c r="I365" s="234" t="str">
        <f t="shared" si="49"/>
        <v/>
      </c>
      <c r="J365" s="234" t="str">
        <f t="shared" si="50"/>
        <v/>
      </c>
      <c r="K365" s="234"/>
      <c r="L365" s="234"/>
      <c r="M365" s="234"/>
      <c r="N365" s="234"/>
      <c r="O365" s="234"/>
    </row>
    <row r="366" spans="2:15">
      <c r="B366" s="233" t="str">
        <f t="shared" si="51"/>
        <v/>
      </c>
      <c r="C366" s="243" t="str">
        <f t="shared" si="52"/>
        <v/>
      </c>
      <c r="D366" s="234" t="str">
        <f t="shared" si="53"/>
        <v/>
      </c>
      <c r="E366" s="234" t="str">
        <f t="shared" si="45"/>
        <v/>
      </c>
      <c r="F366" s="234" t="str">
        <f t="shared" si="46"/>
        <v/>
      </c>
      <c r="G366" s="234" t="str">
        <f t="shared" si="47"/>
        <v/>
      </c>
      <c r="H366" s="234" t="str">
        <f t="shared" si="48"/>
        <v/>
      </c>
      <c r="I366" s="234" t="str">
        <f t="shared" si="49"/>
        <v/>
      </c>
      <c r="J366" s="234" t="str">
        <f t="shared" si="50"/>
        <v/>
      </c>
      <c r="K366" s="234"/>
      <c r="L366" s="234"/>
      <c r="M366" s="234"/>
      <c r="N366" s="234"/>
      <c r="O366" s="234"/>
    </row>
    <row r="367" spans="2:15">
      <c r="B367" s="233" t="str">
        <f t="shared" si="51"/>
        <v/>
      </c>
      <c r="C367" s="243" t="str">
        <f t="shared" si="52"/>
        <v/>
      </c>
      <c r="D367" s="234" t="str">
        <f t="shared" si="53"/>
        <v/>
      </c>
      <c r="E367" s="234" t="str">
        <f t="shared" si="45"/>
        <v/>
      </c>
      <c r="F367" s="234" t="str">
        <f t="shared" si="46"/>
        <v/>
      </c>
      <c r="G367" s="234" t="str">
        <f t="shared" si="47"/>
        <v/>
      </c>
      <c r="H367" s="234" t="str">
        <f t="shared" si="48"/>
        <v/>
      </c>
      <c r="I367" s="234" t="str">
        <f t="shared" si="49"/>
        <v/>
      </c>
      <c r="J367" s="234" t="str">
        <f t="shared" si="50"/>
        <v/>
      </c>
      <c r="K367" s="234"/>
      <c r="L367" s="234"/>
      <c r="M367" s="234"/>
      <c r="N367" s="234"/>
      <c r="O367" s="234"/>
    </row>
    <row r="368" spans="2:15">
      <c r="B368" s="233" t="str">
        <f t="shared" si="51"/>
        <v/>
      </c>
      <c r="C368" s="243" t="str">
        <f t="shared" si="52"/>
        <v/>
      </c>
      <c r="D368" s="234" t="str">
        <f t="shared" si="53"/>
        <v/>
      </c>
      <c r="E368" s="234" t="str">
        <f t="shared" si="45"/>
        <v/>
      </c>
      <c r="F368" s="234" t="str">
        <f t="shared" si="46"/>
        <v/>
      </c>
      <c r="G368" s="234" t="str">
        <f t="shared" si="47"/>
        <v/>
      </c>
      <c r="H368" s="234" t="str">
        <f t="shared" si="48"/>
        <v/>
      </c>
      <c r="I368" s="234" t="str">
        <f t="shared" si="49"/>
        <v/>
      </c>
      <c r="J368" s="234" t="str">
        <f t="shared" si="50"/>
        <v/>
      </c>
      <c r="K368" s="234"/>
      <c r="L368" s="234"/>
      <c r="M368" s="234"/>
      <c r="N368" s="234"/>
      <c r="O368" s="234"/>
    </row>
    <row r="369" spans="2:15">
      <c r="B369" s="233" t="str">
        <f t="shared" si="51"/>
        <v/>
      </c>
      <c r="C369" s="243" t="str">
        <f t="shared" si="52"/>
        <v/>
      </c>
      <c r="D369" s="234" t="str">
        <f t="shared" si="53"/>
        <v/>
      </c>
      <c r="E369" s="234" t="str">
        <f t="shared" si="45"/>
        <v/>
      </c>
      <c r="F369" s="234" t="str">
        <f t="shared" si="46"/>
        <v/>
      </c>
      <c r="G369" s="234" t="str">
        <f t="shared" si="47"/>
        <v/>
      </c>
      <c r="H369" s="234" t="str">
        <f t="shared" si="48"/>
        <v/>
      </c>
      <c r="I369" s="234" t="str">
        <f t="shared" si="49"/>
        <v/>
      </c>
      <c r="J369" s="234" t="str">
        <f t="shared" si="50"/>
        <v/>
      </c>
      <c r="K369" s="234"/>
      <c r="L369" s="234"/>
      <c r="M369" s="234"/>
      <c r="N369" s="234"/>
      <c r="O369" s="234"/>
    </row>
    <row r="370" spans="2:15">
      <c r="B370" s="233" t="str">
        <f t="shared" si="51"/>
        <v/>
      </c>
      <c r="C370" s="243" t="str">
        <f t="shared" si="52"/>
        <v/>
      </c>
      <c r="D370" s="234" t="str">
        <f t="shared" si="53"/>
        <v/>
      </c>
      <c r="E370" s="234" t="str">
        <f t="shared" si="45"/>
        <v/>
      </c>
      <c r="F370" s="234" t="str">
        <f t="shared" si="46"/>
        <v/>
      </c>
      <c r="G370" s="234" t="str">
        <f t="shared" si="47"/>
        <v/>
      </c>
      <c r="H370" s="234" t="str">
        <f t="shared" si="48"/>
        <v/>
      </c>
      <c r="I370" s="234" t="str">
        <f t="shared" si="49"/>
        <v/>
      </c>
      <c r="J370" s="234" t="str">
        <f t="shared" si="50"/>
        <v/>
      </c>
      <c r="K370" s="234"/>
      <c r="L370" s="234"/>
      <c r="M370" s="234"/>
      <c r="N370" s="234"/>
      <c r="O370" s="234"/>
    </row>
    <row r="371" spans="2:15">
      <c r="B371" s="233" t="str">
        <f t="shared" si="51"/>
        <v/>
      </c>
      <c r="C371" s="243" t="str">
        <f t="shared" si="52"/>
        <v/>
      </c>
      <c r="D371" s="234" t="str">
        <f t="shared" si="53"/>
        <v/>
      </c>
      <c r="E371" s="234" t="str">
        <f t="shared" si="45"/>
        <v/>
      </c>
      <c r="F371" s="234" t="str">
        <f t="shared" si="46"/>
        <v/>
      </c>
      <c r="G371" s="234" t="str">
        <f t="shared" si="47"/>
        <v/>
      </c>
      <c r="H371" s="234" t="str">
        <f t="shared" si="48"/>
        <v/>
      </c>
      <c r="I371" s="234" t="str">
        <f t="shared" si="49"/>
        <v/>
      </c>
      <c r="J371" s="234" t="str">
        <f t="shared" si="50"/>
        <v/>
      </c>
      <c r="K371" s="234"/>
      <c r="L371" s="234"/>
      <c r="M371" s="234"/>
      <c r="N371" s="234"/>
      <c r="O371" s="234"/>
    </row>
    <row r="372" spans="2:15">
      <c r="B372" s="233" t="str">
        <f t="shared" si="51"/>
        <v/>
      </c>
      <c r="C372" s="243" t="str">
        <f t="shared" si="52"/>
        <v/>
      </c>
      <c r="D372" s="234" t="str">
        <f t="shared" si="53"/>
        <v/>
      </c>
      <c r="E372" s="234" t="str">
        <f t="shared" si="45"/>
        <v/>
      </c>
      <c r="F372" s="234" t="str">
        <f t="shared" si="46"/>
        <v/>
      </c>
      <c r="G372" s="234" t="str">
        <f t="shared" si="47"/>
        <v/>
      </c>
      <c r="H372" s="234" t="str">
        <f t="shared" si="48"/>
        <v/>
      </c>
      <c r="I372" s="234" t="str">
        <f t="shared" si="49"/>
        <v/>
      </c>
      <c r="J372" s="234" t="str">
        <f t="shared" si="50"/>
        <v/>
      </c>
      <c r="K372" s="234"/>
      <c r="L372" s="234"/>
      <c r="M372" s="234"/>
      <c r="N372" s="234"/>
      <c r="O372" s="234"/>
    </row>
    <row r="373" spans="2:15">
      <c r="B373" s="233" t="str">
        <f t="shared" si="51"/>
        <v/>
      </c>
      <c r="C373" s="243" t="str">
        <f t="shared" si="52"/>
        <v/>
      </c>
      <c r="D373" s="234" t="str">
        <f t="shared" si="53"/>
        <v/>
      </c>
      <c r="E373" s="234" t="str">
        <f t="shared" si="45"/>
        <v/>
      </c>
      <c r="F373" s="234" t="str">
        <f t="shared" si="46"/>
        <v/>
      </c>
      <c r="G373" s="234" t="str">
        <f t="shared" si="47"/>
        <v/>
      </c>
      <c r="H373" s="234" t="str">
        <f t="shared" si="48"/>
        <v/>
      </c>
      <c r="I373" s="234" t="str">
        <f t="shared" si="49"/>
        <v/>
      </c>
      <c r="J373" s="234" t="str">
        <f t="shared" si="50"/>
        <v/>
      </c>
      <c r="K373" s="234"/>
      <c r="L373" s="234"/>
      <c r="M373" s="234"/>
      <c r="N373" s="234"/>
      <c r="O373" s="234"/>
    </row>
    <row r="374" spans="2:15">
      <c r="B374" s="233" t="str">
        <f t="shared" si="51"/>
        <v/>
      </c>
      <c r="C374" s="243" t="str">
        <f t="shared" si="52"/>
        <v/>
      </c>
      <c r="D374" s="234" t="str">
        <f t="shared" si="53"/>
        <v/>
      </c>
      <c r="E374" s="234" t="str">
        <f t="shared" si="45"/>
        <v/>
      </c>
      <c r="F374" s="234" t="str">
        <f t="shared" si="46"/>
        <v/>
      </c>
      <c r="G374" s="234" t="str">
        <f t="shared" si="47"/>
        <v/>
      </c>
      <c r="H374" s="234" t="str">
        <f t="shared" si="48"/>
        <v/>
      </c>
      <c r="I374" s="234" t="str">
        <f t="shared" si="49"/>
        <v/>
      </c>
      <c r="J374" s="234" t="str">
        <f t="shared" si="50"/>
        <v/>
      </c>
      <c r="K374" s="234"/>
      <c r="L374" s="234"/>
      <c r="M374" s="234"/>
      <c r="N374" s="234"/>
      <c r="O374" s="234"/>
    </row>
    <row r="375" spans="2:15">
      <c r="B375" s="233" t="str">
        <f t="shared" si="51"/>
        <v/>
      </c>
      <c r="C375" s="243" t="str">
        <f t="shared" si="52"/>
        <v/>
      </c>
      <c r="D375" s="234" t="str">
        <f t="shared" si="53"/>
        <v/>
      </c>
      <c r="E375" s="234" t="str">
        <f t="shared" si="45"/>
        <v/>
      </c>
      <c r="F375" s="234" t="str">
        <f t="shared" si="46"/>
        <v/>
      </c>
      <c r="G375" s="234" t="str">
        <f t="shared" si="47"/>
        <v/>
      </c>
      <c r="H375" s="234" t="str">
        <f t="shared" si="48"/>
        <v/>
      </c>
      <c r="I375" s="234" t="str">
        <f t="shared" si="49"/>
        <v/>
      </c>
      <c r="J375" s="234" t="str">
        <f t="shared" si="50"/>
        <v/>
      </c>
      <c r="K375" s="234"/>
      <c r="L375" s="234"/>
      <c r="M375" s="234"/>
      <c r="N375" s="234"/>
      <c r="O375" s="234"/>
    </row>
    <row r="376" spans="2:15">
      <c r="B376" s="233" t="str">
        <f t="shared" si="51"/>
        <v/>
      </c>
      <c r="C376" s="243" t="str">
        <f t="shared" si="52"/>
        <v/>
      </c>
      <c r="D376" s="234" t="str">
        <f t="shared" si="53"/>
        <v/>
      </c>
      <c r="E376" s="234" t="str">
        <f t="shared" si="45"/>
        <v/>
      </c>
      <c r="F376" s="234" t="str">
        <f t="shared" si="46"/>
        <v/>
      </c>
      <c r="G376" s="234" t="str">
        <f t="shared" si="47"/>
        <v/>
      </c>
      <c r="H376" s="234" t="str">
        <f t="shared" si="48"/>
        <v/>
      </c>
      <c r="I376" s="234" t="str">
        <f t="shared" si="49"/>
        <v/>
      </c>
      <c r="J376" s="234" t="str">
        <f t="shared" si="50"/>
        <v/>
      </c>
      <c r="K376" s="234"/>
      <c r="L376" s="234"/>
      <c r="M376" s="234"/>
      <c r="N376" s="234"/>
      <c r="O376" s="234"/>
    </row>
    <row r="377" spans="2:15">
      <c r="B377" s="233" t="str">
        <f t="shared" si="51"/>
        <v/>
      </c>
      <c r="C377" s="243" t="str">
        <f t="shared" si="52"/>
        <v/>
      </c>
      <c r="D377" s="234" t="str">
        <f t="shared" si="53"/>
        <v/>
      </c>
      <c r="E377" s="234" t="str">
        <f t="shared" si="45"/>
        <v/>
      </c>
      <c r="F377" s="234" t="str">
        <f t="shared" si="46"/>
        <v/>
      </c>
      <c r="G377" s="234" t="str">
        <f t="shared" si="47"/>
        <v/>
      </c>
      <c r="H377" s="234" t="str">
        <f t="shared" si="48"/>
        <v/>
      </c>
      <c r="I377" s="234" t="str">
        <f t="shared" si="49"/>
        <v/>
      </c>
      <c r="J377" s="234" t="str">
        <f t="shared" si="50"/>
        <v/>
      </c>
      <c r="K377" s="234"/>
      <c r="L377" s="234"/>
      <c r="M377" s="234"/>
      <c r="N377" s="234"/>
      <c r="O377" s="234"/>
    </row>
    <row r="378" spans="2:15">
      <c r="B378" s="233" t="str">
        <f t="shared" si="51"/>
        <v/>
      </c>
      <c r="C378" s="243" t="str">
        <f t="shared" si="52"/>
        <v/>
      </c>
      <c r="D378" s="234" t="str">
        <f t="shared" si="53"/>
        <v/>
      </c>
      <c r="E378" s="234" t="str">
        <f t="shared" si="45"/>
        <v/>
      </c>
      <c r="F378" s="234" t="str">
        <f t="shared" si="46"/>
        <v/>
      </c>
      <c r="G378" s="234" t="str">
        <f t="shared" si="47"/>
        <v/>
      </c>
      <c r="H378" s="234" t="str">
        <f t="shared" si="48"/>
        <v/>
      </c>
      <c r="I378" s="234" t="str">
        <f t="shared" si="49"/>
        <v/>
      </c>
      <c r="J378" s="234" t="str">
        <f t="shared" si="50"/>
        <v/>
      </c>
      <c r="K378" s="234"/>
      <c r="L378" s="234"/>
      <c r="M378" s="234"/>
      <c r="N378" s="234"/>
      <c r="O378" s="234"/>
    </row>
    <row r="379" spans="2:15">
      <c r="B379" s="233" t="str">
        <f t="shared" si="51"/>
        <v/>
      </c>
      <c r="C379" s="243" t="str">
        <f t="shared" si="52"/>
        <v/>
      </c>
      <c r="D379" s="234" t="str">
        <f t="shared" si="53"/>
        <v/>
      </c>
      <c r="E379" s="234" t="str">
        <f t="shared" si="45"/>
        <v/>
      </c>
      <c r="F379" s="234" t="str">
        <f t="shared" si="46"/>
        <v/>
      </c>
      <c r="G379" s="234" t="str">
        <f t="shared" si="47"/>
        <v/>
      </c>
      <c r="H379" s="234" t="str">
        <f t="shared" si="48"/>
        <v/>
      </c>
      <c r="I379" s="234" t="str">
        <f t="shared" si="49"/>
        <v/>
      </c>
      <c r="J379" s="234" t="str">
        <f t="shared" si="50"/>
        <v/>
      </c>
      <c r="K379" s="234"/>
      <c r="L379" s="234"/>
      <c r="M379" s="234"/>
      <c r="N379" s="234"/>
      <c r="O379" s="234"/>
    </row>
    <row r="380" spans="2:15">
      <c r="B380" s="233" t="str">
        <f t="shared" si="51"/>
        <v/>
      </c>
      <c r="C380" s="243" t="str">
        <f t="shared" si="52"/>
        <v/>
      </c>
      <c r="D380" s="234" t="str">
        <f t="shared" si="53"/>
        <v/>
      </c>
      <c r="E380" s="234" t="str">
        <f t="shared" si="45"/>
        <v/>
      </c>
      <c r="F380" s="234" t="str">
        <f t="shared" si="46"/>
        <v/>
      </c>
      <c r="G380" s="234" t="str">
        <f t="shared" si="47"/>
        <v/>
      </c>
      <c r="H380" s="234" t="str">
        <f t="shared" si="48"/>
        <v/>
      </c>
      <c r="I380" s="234" t="str">
        <f t="shared" si="49"/>
        <v/>
      </c>
      <c r="J380" s="234" t="str">
        <f t="shared" si="50"/>
        <v/>
      </c>
      <c r="K380" s="234"/>
      <c r="L380" s="234"/>
      <c r="M380" s="234"/>
      <c r="N380" s="234"/>
      <c r="O380" s="234"/>
    </row>
    <row r="381" spans="2:15">
      <c r="B381" s="233" t="str">
        <f t="shared" si="51"/>
        <v/>
      </c>
      <c r="C381" s="243" t="str">
        <f t="shared" si="52"/>
        <v/>
      </c>
      <c r="D381" s="234" t="str">
        <f t="shared" si="53"/>
        <v/>
      </c>
      <c r="E381" s="234" t="str">
        <f t="shared" si="45"/>
        <v/>
      </c>
      <c r="F381" s="234" t="str">
        <f t="shared" si="46"/>
        <v/>
      </c>
      <c r="G381" s="234" t="str">
        <f t="shared" si="47"/>
        <v/>
      </c>
      <c r="H381" s="234" t="str">
        <f t="shared" si="48"/>
        <v/>
      </c>
      <c r="I381" s="234" t="str">
        <f t="shared" si="49"/>
        <v/>
      </c>
      <c r="J381" s="234" t="str">
        <f t="shared" si="50"/>
        <v/>
      </c>
      <c r="K381" s="234"/>
      <c r="L381" s="234"/>
      <c r="M381" s="234"/>
      <c r="N381" s="234"/>
      <c r="O381" s="234"/>
    </row>
    <row r="382" spans="2:15">
      <c r="B382" s="233" t="str">
        <f t="shared" si="51"/>
        <v/>
      </c>
      <c r="C382" s="243" t="str">
        <f t="shared" si="52"/>
        <v/>
      </c>
      <c r="D382" s="234" t="str">
        <f t="shared" si="53"/>
        <v/>
      </c>
      <c r="E382" s="234" t="str">
        <f t="shared" si="45"/>
        <v/>
      </c>
      <c r="F382" s="234" t="str">
        <f t="shared" si="46"/>
        <v/>
      </c>
      <c r="G382" s="234" t="str">
        <f t="shared" si="47"/>
        <v/>
      </c>
      <c r="H382" s="234" t="str">
        <f t="shared" si="48"/>
        <v/>
      </c>
      <c r="I382" s="234" t="str">
        <f t="shared" si="49"/>
        <v/>
      </c>
      <c r="J382" s="234" t="str">
        <f t="shared" si="50"/>
        <v/>
      </c>
      <c r="K382" s="234"/>
      <c r="L382" s="234"/>
      <c r="M382" s="234"/>
      <c r="N382" s="234"/>
      <c r="O382" s="234"/>
    </row>
    <row r="383" spans="2:15">
      <c r="B383" s="233" t="str">
        <f t="shared" si="51"/>
        <v/>
      </c>
      <c r="C383" s="243" t="str">
        <f t="shared" si="52"/>
        <v/>
      </c>
      <c r="D383" s="234" t="str">
        <f t="shared" si="53"/>
        <v/>
      </c>
      <c r="E383" s="234" t="str">
        <f t="shared" si="45"/>
        <v/>
      </c>
      <c r="F383" s="234" t="str">
        <f t="shared" si="46"/>
        <v/>
      </c>
      <c r="G383" s="234" t="str">
        <f t="shared" si="47"/>
        <v/>
      </c>
      <c r="H383" s="234" t="str">
        <f t="shared" si="48"/>
        <v/>
      </c>
      <c r="I383" s="234" t="str">
        <f t="shared" si="49"/>
        <v/>
      </c>
      <c r="J383" s="234" t="str">
        <f t="shared" si="50"/>
        <v/>
      </c>
      <c r="K383" s="234"/>
      <c r="L383" s="234"/>
      <c r="M383" s="234"/>
      <c r="N383" s="234"/>
      <c r="O383" s="234"/>
    </row>
    <row r="384" spans="2:15">
      <c r="B384" s="233" t="str">
        <f t="shared" si="51"/>
        <v/>
      </c>
      <c r="C384" s="243" t="str">
        <f t="shared" si="52"/>
        <v/>
      </c>
      <c r="D384" s="234" t="str">
        <f t="shared" si="53"/>
        <v/>
      </c>
      <c r="E384" s="234" t="str">
        <f t="shared" si="45"/>
        <v/>
      </c>
      <c r="F384" s="234" t="str">
        <f t="shared" si="46"/>
        <v/>
      </c>
      <c r="G384" s="234" t="str">
        <f t="shared" si="47"/>
        <v/>
      </c>
      <c r="H384" s="234" t="str">
        <f t="shared" si="48"/>
        <v/>
      </c>
      <c r="I384" s="234" t="str">
        <f t="shared" si="49"/>
        <v/>
      </c>
      <c r="J384" s="234" t="str">
        <f t="shared" si="50"/>
        <v/>
      </c>
      <c r="K384" s="234"/>
      <c r="L384" s="234"/>
      <c r="M384" s="234"/>
      <c r="N384" s="234"/>
      <c r="O384" s="234"/>
    </row>
    <row r="385" s="206" customFormat="1"/>
    <row r="386" s="206" customFormat="1"/>
    <row r="387" s="206" customFormat="1"/>
    <row r="388" s="206" customFormat="1"/>
    <row r="389" s="206" customFormat="1"/>
    <row r="390" s="206" customFormat="1"/>
    <row r="391" s="206" customFormat="1"/>
    <row r="392" s="206" customFormat="1"/>
    <row r="393" s="206" customFormat="1"/>
    <row r="394" s="206" customFormat="1"/>
    <row r="395" s="206" customFormat="1"/>
    <row r="396" s="206" customFormat="1"/>
    <row r="397" s="206" customFormat="1"/>
    <row r="398" s="206" customFormat="1"/>
    <row r="399" s="206" customFormat="1"/>
    <row r="400" s="206" customFormat="1"/>
    <row r="401" s="206" customFormat="1"/>
    <row r="402" s="206" customFormat="1"/>
    <row r="403" s="206" customFormat="1"/>
    <row r="404" s="206" customFormat="1"/>
    <row r="405" s="206" customFormat="1"/>
    <row r="406" s="206" customFormat="1"/>
    <row r="407" s="206" customFormat="1"/>
    <row r="408" s="206" customFormat="1"/>
    <row r="409" s="206" customFormat="1"/>
    <row r="410" s="206" customFormat="1"/>
    <row r="411" s="206" customFormat="1"/>
    <row r="412" s="206" customFormat="1"/>
    <row r="413" s="206" customFormat="1"/>
    <row r="414" s="206" customFormat="1"/>
    <row r="415" s="206" customFormat="1"/>
    <row r="416" s="206" customFormat="1"/>
    <row r="417" s="206" customFormat="1"/>
    <row r="418" s="206" customFormat="1"/>
    <row r="419" s="206" customFormat="1"/>
    <row r="420" s="206" customFormat="1"/>
    <row r="421" s="206" customFormat="1"/>
    <row r="422" s="206" customFormat="1"/>
    <row r="423" s="206" customFormat="1"/>
    <row r="424" s="206" customFormat="1"/>
    <row r="425" s="206" customFormat="1"/>
    <row r="426" s="206" customFormat="1"/>
    <row r="427" s="206" customFormat="1"/>
    <row r="428" s="206" customFormat="1"/>
    <row r="429" s="206" customFormat="1"/>
    <row r="430" s="206" customFormat="1"/>
    <row r="431" s="206" customFormat="1"/>
    <row r="432" s="206" customFormat="1"/>
    <row r="433" s="206" customFormat="1"/>
    <row r="434" s="206" customFormat="1"/>
    <row r="435" s="206" customFormat="1"/>
    <row r="436" s="206" customFormat="1"/>
    <row r="437" s="206" customFormat="1"/>
    <row r="438" s="206" customFormat="1"/>
    <row r="439" s="206" customFormat="1"/>
    <row r="440" s="206" customFormat="1"/>
    <row r="441" s="206" customFormat="1"/>
    <row r="442" s="206" customFormat="1"/>
    <row r="443" s="206" customFormat="1"/>
    <row r="444" s="206" customFormat="1"/>
    <row r="445" s="206" customFormat="1"/>
    <row r="446" s="206" customFormat="1"/>
    <row r="447" s="206" customFormat="1"/>
    <row r="448" s="206" customFormat="1"/>
    <row r="449" s="206" customFormat="1"/>
    <row r="450" s="206" customFormat="1"/>
    <row r="451" s="206" customFormat="1"/>
    <row r="452" s="206" customFormat="1"/>
    <row r="453" s="206" customFormat="1"/>
    <row r="454" s="206" customFormat="1"/>
    <row r="455" s="206" customFormat="1"/>
    <row r="456" s="206" customFormat="1"/>
    <row r="457" s="206" customFormat="1"/>
    <row r="458" s="206" customFormat="1"/>
    <row r="459" s="206" customFormat="1"/>
    <row r="460" s="206" customFormat="1"/>
    <row r="461" s="206" customFormat="1"/>
    <row r="462" s="206" customFormat="1"/>
    <row r="463" s="206" customFormat="1"/>
    <row r="464" s="206" customFormat="1"/>
    <row r="465" s="206" customFormat="1"/>
    <row r="466" s="206" customFormat="1"/>
    <row r="467" s="206" customFormat="1"/>
    <row r="468" s="206" customFormat="1"/>
    <row r="469" s="206" customFormat="1"/>
    <row r="470" s="206" customFormat="1"/>
    <row r="471" s="206" customFormat="1"/>
    <row r="472" s="206" customFormat="1"/>
    <row r="473" s="206" customFormat="1"/>
    <row r="474" s="206" customFormat="1"/>
    <row r="475" s="206" customFormat="1"/>
    <row r="476" s="206" customFormat="1"/>
    <row r="477" s="206" customFormat="1"/>
    <row r="478" s="206" customFormat="1"/>
    <row r="479" s="206" customFormat="1"/>
    <row r="480" s="206" customFormat="1"/>
    <row r="481" s="206" customFormat="1"/>
    <row r="482" s="206" customFormat="1"/>
    <row r="483" s="206" customFormat="1"/>
    <row r="484" s="206" customFormat="1"/>
    <row r="485" s="206" customFormat="1"/>
    <row r="486" s="206" customFormat="1"/>
    <row r="487" s="206" customFormat="1"/>
    <row r="488" s="206" customFormat="1"/>
    <row r="489" s="206" customFormat="1"/>
    <row r="490" s="206" customFormat="1"/>
    <row r="491" s="206" customFormat="1"/>
    <row r="492" s="206" customFormat="1"/>
    <row r="493" s="206" customFormat="1"/>
    <row r="494" s="206" customFormat="1"/>
    <row r="495" s="206" customFormat="1"/>
    <row r="496" s="206" customFormat="1"/>
    <row r="497" s="206" customFormat="1"/>
    <row r="498" s="206" customFormat="1"/>
    <row r="499" s="206" customFormat="1"/>
    <row r="500" s="206" customFormat="1"/>
    <row r="501" s="206" customFormat="1"/>
    <row r="502" s="206" customFormat="1"/>
    <row r="503" s="206" customFormat="1"/>
    <row r="504" s="206" customFormat="1"/>
    <row r="505" s="206" customFormat="1"/>
    <row r="506" s="206" customFormat="1"/>
    <row r="507" s="206" customFormat="1"/>
    <row r="508" s="206" customFormat="1"/>
    <row r="509" s="206" customFormat="1"/>
    <row r="510" s="206" customFormat="1"/>
    <row r="511" s="206" customFormat="1"/>
    <row r="512" s="206" customFormat="1"/>
    <row r="513" s="206" customFormat="1"/>
    <row r="514" s="206" customFormat="1"/>
    <row r="515" s="206" customFormat="1"/>
    <row r="516" s="206" customFormat="1"/>
    <row r="517" s="206" customFormat="1"/>
    <row r="518" s="206" customFormat="1"/>
    <row r="519" s="206" customFormat="1"/>
    <row r="520" s="206" customFormat="1"/>
    <row r="521" s="206" customFormat="1"/>
    <row r="522" s="206" customFormat="1"/>
    <row r="523" s="206" customFormat="1"/>
    <row r="524" s="206" customFormat="1"/>
    <row r="525" s="206" customFormat="1"/>
    <row r="526" s="206" customFormat="1"/>
    <row r="527" s="206" customFormat="1"/>
    <row r="528" s="206" customFormat="1"/>
    <row r="529" s="206" customFormat="1"/>
    <row r="530" s="206" customFormat="1"/>
    <row r="531" s="206" customFormat="1"/>
    <row r="532" s="206" customFormat="1"/>
    <row r="533" s="206" customFormat="1"/>
    <row r="534" s="206" customFormat="1"/>
    <row r="535" s="206" customFormat="1"/>
    <row r="536" s="206" customFormat="1"/>
    <row r="537" s="206" customFormat="1"/>
    <row r="538" s="206" customFormat="1"/>
    <row r="539" s="206" customFormat="1"/>
    <row r="540" s="206" customFormat="1"/>
    <row r="541" s="206" customFormat="1"/>
    <row r="542" s="206" customFormat="1"/>
    <row r="543" s="206" customFormat="1"/>
    <row r="544" s="206" customFormat="1"/>
    <row r="545" s="206" customFormat="1"/>
    <row r="546" s="206" customFormat="1"/>
    <row r="547" s="206" customFormat="1"/>
    <row r="548" s="206" customFormat="1"/>
    <row r="549" s="206" customFormat="1"/>
    <row r="550" s="206" customFormat="1"/>
    <row r="551" s="206" customFormat="1"/>
    <row r="552" s="206" customFormat="1"/>
    <row r="553" s="206" customFormat="1"/>
    <row r="554" s="206" customFormat="1"/>
    <row r="555" s="206" customFormat="1"/>
    <row r="556" s="206" customFormat="1"/>
    <row r="557" s="206" customFormat="1"/>
    <row r="558" s="206" customFormat="1"/>
  </sheetData>
  <sheetProtection algorithmName="SHA-512" hashValue="p9uKv4O16lQEtjw3rwqJ7A6/Zc8HKDEvc9JARNWuUrEVRnp9AHTdWDafJQTudK4+XzRdAoei1Ef3/iAAG2UJdw==" saltValue="MabEill2wrvd3kwOgkGsTg==" spinCount="100000" sheet="1" objects="1" scenarios="1"/>
  <phoneticPr fontId="35" type="noConversion"/>
  <conditionalFormatting sqref="B25:O384">
    <cfRule type="expression" dxfId="5" priority="1" stopIfTrue="1">
      <formula>$B25&lt;&gt;""</formula>
    </cfRule>
  </conditionalFormatting>
  <dataValidations count="4">
    <dataValidation type="decimal" allowBlank="1" showInputMessage="1" showErrorMessage="1" sqref="E10" xr:uid="{B7244641-A93E-4A04-B2F2-9F4D81DC2C79}">
      <formula1>0</formula1>
      <formula2>100</formula2>
    </dataValidation>
    <dataValidation type="decimal" allowBlank="1" showInputMessage="1" showErrorMessage="1" sqref="E13:E14" xr:uid="{11FF818E-E498-43EF-905D-22C843C3FA07}">
      <formula1>0</formula1>
      <formula2>1000000000</formula2>
    </dataValidation>
    <dataValidation type="date" allowBlank="1" showInputMessage="1" showErrorMessage="1" sqref="E12" xr:uid="{9E4DB479-945C-4C8F-9721-6586C5A6D308}">
      <formula1>1</formula1>
      <formula2>73415</formula2>
    </dataValidation>
    <dataValidation type="whole" errorStyle="information" allowBlank="1" showInputMessage="1" showErrorMessage="1" errorTitle="Keine gültige Laufzeit" error="Bitte einen Wert zwischen 1 und 30 erfassen" promptTitle="Gültige Laufzeit" prompt="Jahre zwischen 1 und 30 zulässig!" sqref="E11" xr:uid="{5A18E1C5-2357-49D0-96FE-317D6842BCCA}">
      <formula1>0</formula1>
      <formula2>30</formula2>
    </dataValidation>
  </dataValidations>
  <printOptions gridLines="1"/>
  <pageMargins left="0.39370078740157483" right="0.19685039370078741" top="0.59055118110236227" bottom="0.39370078740157483" header="0.31496062992125984" footer="0.31496062992125984"/>
  <pageSetup paperSize="9" scale="98"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843FA-FD17-BC49-A662-E75CA7046D76}">
  <sheetPr codeName="Hoja4"/>
  <dimension ref="B2:AI105"/>
  <sheetViews>
    <sheetView showGridLines="0" zoomScaleNormal="100" workbookViewId="0">
      <selection activeCell="H37" sqref="H37"/>
    </sheetView>
  </sheetViews>
  <sheetFormatPr baseColWidth="10" defaultColWidth="11.19921875" defaultRowHeight="15.6"/>
  <cols>
    <col min="2" max="2" width="35.19921875" customWidth="1"/>
    <col min="3" max="3" width="16.5" customWidth="1"/>
    <col min="4" max="4" width="29.69921875" customWidth="1"/>
    <col min="5" max="5" width="26.19921875" customWidth="1"/>
    <col min="6" max="6" width="17.296875" customWidth="1"/>
    <col min="7" max="7" width="17.59765625" bestFit="1" customWidth="1"/>
    <col min="8" max="8" width="18.59765625" bestFit="1" customWidth="1"/>
    <col min="9" max="9" width="15.5" bestFit="1" customWidth="1"/>
    <col min="10" max="10" width="13.5" customWidth="1"/>
    <col min="12" max="12" width="9.19921875" customWidth="1"/>
    <col min="13" max="13" width="18.3984375" customWidth="1"/>
    <col min="14" max="14" width="18.59765625" bestFit="1" customWidth="1"/>
    <col min="15" max="16" width="18.59765625" customWidth="1"/>
    <col min="17" max="18" width="13.3984375" bestFit="1" customWidth="1"/>
    <col min="19" max="19" width="18" bestFit="1" customWidth="1"/>
    <col min="20" max="20" width="17.59765625" bestFit="1" customWidth="1"/>
  </cols>
  <sheetData>
    <row r="2" spans="2:21">
      <c r="B2" s="182" t="s">
        <v>83</v>
      </c>
      <c r="C2" s="182"/>
      <c r="D2" s="182"/>
      <c r="E2" s="182"/>
      <c r="F2" s="182"/>
      <c r="G2" s="182"/>
      <c r="H2" s="182"/>
      <c r="I2" s="182"/>
      <c r="J2" s="182"/>
      <c r="K2" s="182"/>
      <c r="L2" s="182"/>
      <c r="M2" s="182"/>
      <c r="N2" s="182"/>
      <c r="O2" s="182"/>
      <c r="P2" s="182"/>
      <c r="Q2" s="182"/>
      <c r="R2" s="182"/>
      <c r="S2" s="182"/>
      <c r="T2" s="182"/>
    </row>
    <row r="4" spans="2:21" ht="49.2">
      <c r="B4" s="304" t="s">
        <v>8</v>
      </c>
      <c r="C4" s="172" t="s">
        <v>9</v>
      </c>
      <c r="D4" s="84" t="s">
        <v>10</v>
      </c>
      <c r="E4" s="84" t="s">
        <v>201</v>
      </c>
      <c r="F4" s="84" t="s">
        <v>6</v>
      </c>
      <c r="G4" s="84" t="s">
        <v>228</v>
      </c>
      <c r="H4" s="84" t="s">
        <v>202</v>
      </c>
      <c r="I4" s="84" t="s">
        <v>203</v>
      </c>
      <c r="J4" s="84" t="s">
        <v>44</v>
      </c>
      <c r="K4" s="84" t="s">
        <v>126</v>
      </c>
      <c r="L4" s="84" t="s">
        <v>84</v>
      </c>
      <c r="M4" s="84" t="s">
        <v>227</v>
      </c>
      <c r="N4" s="84" t="s">
        <v>45</v>
      </c>
      <c r="O4" s="84" t="s">
        <v>31</v>
      </c>
      <c r="P4" s="84" t="s">
        <v>231</v>
      </c>
      <c r="Q4" s="84" t="s">
        <v>125</v>
      </c>
      <c r="R4" s="84" t="s">
        <v>124</v>
      </c>
      <c r="S4" s="84" t="s">
        <v>230</v>
      </c>
      <c r="T4" s="84" t="s">
        <v>229</v>
      </c>
    </row>
    <row r="5" spans="2:21">
      <c r="B5" s="304"/>
      <c r="C5" s="166" t="s">
        <v>5</v>
      </c>
      <c r="D5" s="166" t="s">
        <v>1</v>
      </c>
      <c r="E5" s="166" t="s">
        <v>5</v>
      </c>
      <c r="F5" s="166" t="s">
        <v>5</v>
      </c>
      <c r="G5" s="166"/>
      <c r="H5" s="166"/>
      <c r="I5" s="166"/>
      <c r="J5" s="166" t="s">
        <v>3</v>
      </c>
      <c r="K5" s="166" t="s">
        <v>3</v>
      </c>
      <c r="L5" s="46"/>
      <c r="M5" s="166" t="s">
        <v>5</v>
      </c>
      <c r="N5" s="166" t="s">
        <v>1</v>
      </c>
      <c r="O5" s="166" t="s">
        <v>5</v>
      </c>
      <c r="P5" s="166" t="s">
        <v>5</v>
      </c>
      <c r="Q5" s="166" t="s">
        <v>5</v>
      </c>
      <c r="R5" s="166" t="s">
        <v>5</v>
      </c>
      <c r="S5" s="166"/>
      <c r="T5" s="46"/>
    </row>
    <row r="6" spans="2:21">
      <c r="B6" s="166">
        <v>0</v>
      </c>
      <c r="C6" s="173">
        <f>+-'Inputs&amp;Results'!C25</f>
        <v>-1600</v>
      </c>
      <c r="D6" s="170"/>
      <c r="E6" s="174"/>
      <c r="F6" s="175"/>
      <c r="G6" s="175"/>
      <c r="H6" s="175"/>
      <c r="I6" s="176">
        <f>C6*'Inputs&amp;Results'!$C$27</f>
        <v>-1280</v>
      </c>
      <c r="J6" s="177">
        <v>0</v>
      </c>
      <c r="K6" s="177">
        <v>0</v>
      </c>
      <c r="L6" s="85">
        <f>IF($C$58="Yes", 1,0)</f>
        <v>0</v>
      </c>
      <c r="M6" s="175"/>
      <c r="N6" s="170">
        <f>D6</f>
        <v>0</v>
      </c>
      <c r="O6" s="169">
        <f>C6</f>
        <v>-1600</v>
      </c>
      <c r="P6" s="169">
        <f>C6</f>
        <v>-1600</v>
      </c>
      <c r="Q6" s="167">
        <f>IF('Inputs&amp;Results'!C37&gt;=0,'Inputs&amp;Results'!C37," ")</f>
        <v>0</v>
      </c>
      <c r="R6" s="46"/>
      <c r="S6" s="46"/>
      <c r="T6" s="46"/>
    </row>
    <row r="7" spans="2:21">
      <c r="B7" s="166">
        <f t="shared" ref="B7:B36" si="0">+B6+1</f>
        <v>1</v>
      </c>
      <c r="C7" s="167"/>
      <c r="D7" s="170">
        <f>IF('Inputs&amp;Results'!$C$6&lt;Calculations!B7,0,'Inputs&amp;Results'!$C$14*(1-'Inputs&amp;Results'!$C$15)^Calculations!B6)</f>
        <v>1500</v>
      </c>
      <c r="E7" s="174">
        <f>IF('Inputs&amp;Results'!$C$6&gt;=B7,D7*'Inputs&amp;Results'!$C$35,0)</f>
        <v>127.35000000000001</v>
      </c>
      <c r="F7" s="175">
        <f>-IF(D7&gt;0,+'Inputs&amp;Results'!$C$19,0)</f>
        <v>-32</v>
      </c>
      <c r="G7" s="175">
        <f>IF(LoanCalculation!$E$11&gt;=Calculations!$B7,-LoanCalculation!$O25,0)</f>
        <v>-84.947093393891805</v>
      </c>
      <c r="H7" s="175">
        <f>IF(LoanCalculation!$E$11&gt;=Calculations!$B7,-LoanCalculation!$N25,0)</f>
        <v>-146.87647113253729</v>
      </c>
      <c r="I7" s="175">
        <f>IF(I6&lt;=0,I6-H7,"")</f>
        <v>-1133.1235288674627</v>
      </c>
      <c r="J7" s="178">
        <f t="shared" ref="J7:J36" si="1">1/(1+$C$54)^B7</f>
        <v>0.93457943925233644</v>
      </c>
      <c r="K7" s="178">
        <f t="shared" ref="K7:K36" si="2">1/(1+$C$55)^B7</f>
        <v>0.94197437829691022</v>
      </c>
      <c r="L7" s="85">
        <f t="shared" ref="L7:L36" si="3">IF($C$58="Yes", 1,0)</f>
        <v>0</v>
      </c>
      <c r="M7" s="175">
        <f>IF(L7=0,(F7+G7+H7)*J7,(F7+G7+H7)*K7)</f>
        <v>-246.56407899666272</v>
      </c>
      <c r="N7" s="170">
        <f>IF(L7=0,D7*J7,D7*K7)</f>
        <v>1401.8691588785045</v>
      </c>
      <c r="O7" s="170">
        <f>SUM(E7:H7)</f>
        <v>-136.47356452642907</v>
      </c>
      <c r="P7" s="169">
        <f>P6+O7</f>
        <v>-1736.4735645264291</v>
      </c>
      <c r="Q7" s="167">
        <f>IF('Inputs&amp;Results'!$C$6&gt;=$B7,'Inputs&amp;Results'!$C$37,0)</f>
        <v>0</v>
      </c>
      <c r="R7" s="167">
        <f t="shared" ref="R7:R36" si="4">IF(Q7=" ",0,Q7*J7)</f>
        <v>0</v>
      </c>
      <c r="S7" s="167">
        <f>IF(L7=0,E7*J7,E7*K7)</f>
        <v>119.01869158878506</v>
      </c>
      <c r="T7" s="167">
        <f>S7+R7+M7</f>
        <v>-127.54538740787766</v>
      </c>
      <c r="U7" s="165"/>
    </row>
    <row r="8" spans="2:21">
      <c r="B8" s="166">
        <f t="shared" si="0"/>
        <v>2</v>
      </c>
      <c r="C8" s="167"/>
      <c r="D8" s="170">
        <f>IF('Inputs&amp;Results'!$C$6&lt;Calculations!B8,0,'Inputs&amp;Results'!$C$14*(1-'Inputs&amp;Results'!$C$15)^Calculations!B7)</f>
        <v>1495.5</v>
      </c>
      <c r="E8" s="174">
        <f>IF('Inputs&amp;Results'!$C$6&gt;=B8,D8*'Inputs&amp;Results'!$C$35,0)</f>
        <v>126.96795</v>
      </c>
      <c r="F8" s="175">
        <f>IF('Inputs&amp;Results'!$C$6&gt;=B8,IF($D8&gt;0,+$F7*(1+'Inputs&amp;Results'!$C$20),0),0)</f>
        <v>-32.64</v>
      </c>
      <c r="G8" s="175">
        <f>IF(LoanCalculation!$E$11&gt;=Calculations!$B8,-LoanCalculation!$O26,0)</f>
        <v>-74.329381419842093</v>
      </c>
      <c r="H8" s="175">
        <f>IF(LoanCalculation!$E$11&gt;=Calculations!$B8,-LoanCalculation!$N26,0)</f>
        <v>-157.49418310658697</v>
      </c>
      <c r="I8" s="175">
        <f t="shared" ref="I8:I36" si="5">IF(I7&lt;=0,I7-H8,"")</f>
        <v>-975.62934576087571</v>
      </c>
      <c r="J8" s="177">
        <f t="shared" si="1"/>
        <v>0.87343872827321156</v>
      </c>
      <c r="K8" s="178">
        <f t="shared" si="2"/>
        <v>0.88731572936785053</v>
      </c>
      <c r="L8" s="85">
        <f t="shared" si="3"/>
        <v>0</v>
      </c>
      <c r="M8" s="175">
        <f t="shared" ref="M8:M36" si="6">IF(L8=0,(F8+G8+H8)*J8,(F8+G8+H8)*K8)</f>
        <v>-230.99271947456464</v>
      </c>
      <c r="N8" s="170">
        <f t="shared" ref="N8:N36" si="7">IF(L8=0,D8*J8,D8*K8)</f>
        <v>1306.2276181325878</v>
      </c>
      <c r="O8" s="170">
        <f t="shared" ref="O8:O36" si="8">SUM(E8:H8)</f>
        <v>-137.49561452642905</v>
      </c>
      <c r="P8" s="169">
        <f>IF(O8=0,0,P7+O8)</f>
        <v>-1873.9691790528582</v>
      </c>
      <c r="Q8" s="167">
        <f>IF('Inputs&amp;Results'!$C$6&gt;=$B8,'Inputs&amp;Results'!$C$37,0)</f>
        <v>0</v>
      </c>
      <c r="R8" s="167">
        <f t="shared" si="4"/>
        <v>0</v>
      </c>
      <c r="S8" s="167">
        <f t="shared" ref="S8:S36" si="9">IF(L8=0,E8*J8,E8*K8)</f>
        <v>110.89872477945671</v>
      </c>
      <c r="T8" s="167">
        <f t="shared" ref="T8:T36" si="10">S8+R8+M8</f>
        <v>-120.09399469510792</v>
      </c>
      <c r="U8" s="165"/>
    </row>
    <row r="9" spans="2:21">
      <c r="B9" s="166">
        <f t="shared" si="0"/>
        <v>3</v>
      </c>
      <c r="C9" s="167"/>
      <c r="D9" s="170">
        <f>IF('Inputs&amp;Results'!$C$6&lt;Calculations!B9,0,'Inputs&amp;Results'!$C$14*(1-'Inputs&amp;Results'!$C$15)^Calculations!B8)</f>
        <v>1491.0135</v>
      </c>
      <c r="E9" s="174">
        <f>IF('Inputs&amp;Results'!$C$6&gt;=B9,D9*'Inputs&amp;Results'!$C$35,0)</f>
        <v>126.58704615000001</v>
      </c>
      <c r="F9" s="175">
        <f>IF('Inputs&amp;Results'!$C$6&gt;=B9,IF($D9&gt;0,+$F8*(1+'Inputs&amp;Results'!$C$20),0),0)</f>
        <v>-33.2928</v>
      </c>
      <c r="G9" s="175">
        <f>IF(LoanCalculation!$E$11&gt;=Calculations!$B9,-LoanCalculation!$O27,0)</f>
        <v>-62.944114188680139</v>
      </c>
      <c r="H9" s="175">
        <f>IF(LoanCalculation!$E$11&gt;=Calculations!$B9,-LoanCalculation!$N27,0)</f>
        <v>-168.87945033774898</v>
      </c>
      <c r="I9" s="175">
        <f t="shared" si="5"/>
        <v>-806.74989542312676</v>
      </c>
      <c r="J9" s="177">
        <f t="shared" si="1"/>
        <v>0.81629787689085187</v>
      </c>
      <c r="K9" s="178">
        <f t="shared" si="2"/>
        <v>0.83582868252435061</v>
      </c>
      <c r="L9" s="85">
        <f t="shared" si="3"/>
        <v>0</v>
      </c>
      <c r="M9" s="175">
        <f t="shared" si="6"/>
        <v>-216.41392549194526</v>
      </c>
      <c r="N9" s="170">
        <f t="shared" si="7"/>
        <v>1217.1111544655982</v>
      </c>
      <c r="O9" s="170">
        <f t="shared" si="8"/>
        <v>-138.5293183764291</v>
      </c>
      <c r="P9" s="169">
        <f t="shared" ref="P9:P36" si="11">IF(O9=0,0,P8+O9)</f>
        <v>-2012.4984974292872</v>
      </c>
      <c r="Q9" s="167">
        <f>IF('Inputs&amp;Results'!$C$6&gt;=$B9,'Inputs&amp;Results'!$C$37,0)</f>
        <v>0</v>
      </c>
      <c r="R9" s="167">
        <f t="shared" si="4"/>
        <v>0</v>
      </c>
      <c r="S9" s="167">
        <f t="shared" si="9"/>
        <v>103.33273701412929</v>
      </c>
      <c r="T9" s="167">
        <f t="shared" si="10"/>
        <v>-113.08118847781597</v>
      </c>
      <c r="U9" s="165"/>
    </row>
    <row r="10" spans="2:21">
      <c r="B10" s="166">
        <f t="shared" si="0"/>
        <v>4</v>
      </c>
      <c r="C10" s="167"/>
      <c r="D10" s="170">
        <f>IF('Inputs&amp;Results'!$C$6&lt;Calculations!B10,0,'Inputs&amp;Results'!$C$14*(1-'Inputs&amp;Results'!$C$15)^Calculations!B9)</f>
        <v>1486.5404595</v>
      </c>
      <c r="E10" s="174">
        <f>IF('Inputs&amp;Results'!$C$6&gt;=B10,D10*'Inputs&amp;Results'!$C$35,0)</f>
        <v>126.20728501155</v>
      </c>
      <c r="F10" s="175">
        <f>IF('Inputs&amp;Results'!$C$6&gt;=B10,IF($D10&gt;0,+$F9*(1+'Inputs&amp;Results'!$C$20),0),0)</f>
        <v>-33.958655999999998</v>
      </c>
      <c r="G10" s="175">
        <f>IF(LoanCalculation!$E$11&gt;=Calculations!$B10,-LoanCalculation!$O28,0)</f>
        <v>-50.735805068807629</v>
      </c>
      <c r="H10" s="175">
        <f>IF(LoanCalculation!$E$11&gt;=Calculations!$B10,-LoanCalculation!$N28,0)</f>
        <v>-181.08775945762147</v>
      </c>
      <c r="I10" s="175">
        <f t="shared" si="5"/>
        <v>-625.66213596550529</v>
      </c>
      <c r="J10" s="177">
        <f t="shared" si="1"/>
        <v>0.7628952120475252</v>
      </c>
      <c r="K10" s="178">
        <f t="shared" si="2"/>
        <v>0.78732920358360059</v>
      </c>
      <c r="L10" s="85">
        <f t="shared" si="3"/>
        <v>0</v>
      </c>
      <c r="M10" s="175">
        <f t="shared" si="6"/>
        <v>-202.76398348697225</v>
      </c>
      <c r="N10" s="170">
        <f t="shared" si="7"/>
        <v>1134.0745990674779</v>
      </c>
      <c r="O10" s="170">
        <f t="shared" si="8"/>
        <v>-139.57493551487909</v>
      </c>
      <c r="P10" s="169">
        <f t="shared" si="11"/>
        <v>-2152.0734329441661</v>
      </c>
      <c r="Q10" s="167">
        <f>IF('Inputs&amp;Results'!$C$6&gt;=$B10,'Inputs&amp;Results'!$C$37,0)</f>
        <v>0</v>
      </c>
      <c r="R10" s="167">
        <f t="shared" si="4"/>
        <v>0</v>
      </c>
      <c r="S10" s="167">
        <f t="shared" si="9"/>
        <v>96.282933460828886</v>
      </c>
      <c r="T10" s="167">
        <f t="shared" si="10"/>
        <v>-106.48105002614336</v>
      </c>
      <c r="U10" s="165"/>
    </row>
    <row r="11" spans="2:21">
      <c r="B11" s="166">
        <f t="shared" si="0"/>
        <v>5</v>
      </c>
      <c r="C11" s="167"/>
      <c r="D11" s="170">
        <f>IF('Inputs&amp;Results'!$C$6&lt;Calculations!B11,0,'Inputs&amp;Results'!$C$14*(1-'Inputs&amp;Results'!$C$15)^Calculations!B10)</f>
        <v>1482.0808381214999</v>
      </c>
      <c r="E11" s="174">
        <f>IF('Inputs&amp;Results'!$C$6&gt;=B11,D11*'Inputs&amp;Results'!$C$35,0)</f>
        <v>125.82866315651535</v>
      </c>
      <c r="F11" s="175">
        <f>IF('Inputs&amp;Results'!$C$6&gt;=B11,IF($D11&gt;0,+$F10*(1+'Inputs&amp;Results'!$C$20),0),0)</f>
        <v>-34.637829119999999</v>
      </c>
      <c r="G11" s="175">
        <f>IF(LoanCalculation!$E$11&gt;=Calculations!$B11,-LoanCalculation!$O29,0)</f>
        <v>-37.644956295541618</v>
      </c>
      <c r="H11" s="175">
        <f>IF(LoanCalculation!$E$11&gt;=Calculations!$B11,-LoanCalculation!$N29,0)</f>
        <v>-194.17860823088745</v>
      </c>
      <c r="I11" s="175">
        <f t="shared" si="5"/>
        <v>-431.48352773461784</v>
      </c>
      <c r="J11" s="177">
        <f t="shared" si="1"/>
        <v>0.71298617948366838</v>
      </c>
      <c r="K11" s="178">
        <f t="shared" si="2"/>
        <v>0.74164393706066356</v>
      </c>
      <c r="L11" s="85">
        <f t="shared" si="3"/>
        <v>0</v>
      </c>
      <c r="M11" s="175">
        <f t="shared" si="6"/>
        <v>-189.9832910358613</v>
      </c>
      <c r="N11" s="170">
        <f t="shared" si="7"/>
        <v>1056.7031544582014</v>
      </c>
      <c r="O11" s="170">
        <f t="shared" si="8"/>
        <v>-140.63273048991371</v>
      </c>
      <c r="P11" s="169">
        <f t="shared" si="11"/>
        <v>-2292.7061634340798</v>
      </c>
      <c r="Q11" s="167">
        <f>IF('Inputs&amp;Results'!$C$6&gt;=$B11,'Inputs&amp;Results'!$C$37,0)</f>
        <v>0</v>
      </c>
      <c r="R11" s="167">
        <f t="shared" si="4"/>
        <v>0</v>
      </c>
      <c r="S11" s="167">
        <f t="shared" si="9"/>
        <v>89.714097813501297</v>
      </c>
      <c r="T11" s="167">
        <f t="shared" si="10"/>
        <v>-100.26919322236</v>
      </c>
      <c r="U11" s="165"/>
    </row>
    <row r="12" spans="2:21">
      <c r="B12" s="166">
        <f t="shared" si="0"/>
        <v>6</v>
      </c>
      <c r="C12" s="167"/>
      <c r="D12" s="170">
        <f>IF('Inputs&amp;Results'!$C$6&lt;Calculations!B12,0,'Inputs&amp;Results'!$C$14*(1-'Inputs&amp;Results'!$C$15)^Calculations!B11)</f>
        <v>1477.6345956071355</v>
      </c>
      <c r="E12" s="174">
        <f>IF('Inputs&amp;Results'!$C$6&gt;=B12,D12*'Inputs&amp;Results'!$C$35,0)</f>
        <v>125.4511771670458</v>
      </c>
      <c r="F12" s="175">
        <f>IF('Inputs&amp;Results'!$C$6&gt;=B12,IF($D12&gt;0,+$F11*(1+'Inputs&amp;Results'!$C$20),0),0)</f>
        <v>-35.330585702400001</v>
      </c>
      <c r="G12" s="175">
        <f>IF(LoanCalculation!$E$11&gt;=Calculations!$B12,-LoanCalculation!$O30,0)</f>
        <v>-23.60776900597946</v>
      </c>
      <c r="H12" s="175">
        <f>IF(LoanCalculation!$E$11&gt;=Calculations!$B12,-LoanCalculation!$N30,0)</f>
        <v>-208.21579552044963</v>
      </c>
      <c r="I12" s="175">
        <f t="shared" si="5"/>
        <v>-223.26773221416821</v>
      </c>
      <c r="J12" s="177">
        <f t="shared" si="1"/>
        <v>0.66634222381651254</v>
      </c>
      <c r="K12" s="178">
        <f t="shared" si="2"/>
        <v>0.69860958653039151</v>
      </c>
      <c r="L12" s="85">
        <f t="shared" si="3"/>
        <v>0</v>
      </c>
      <c r="M12" s="175">
        <f t="shared" si="6"/>
        <v>-178.01609056528866</v>
      </c>
      <c r="N12" s="170">
        <f t="shared" si="7"/>
        <v>984.61032242507179</v>
      </c>
      <c r="O12" s="170">
        <f t="shared" si="8"/>
        <v>-141.7029730617833</v>
      </c>
      <c r="P12" s="169">
        <f t="shared" si="11"/>
        <v>-2434.4091364958631</v>
      </c>
      <c r="Q12" s="167">
        <f>IF('Inputs&amp;Results'!$C$6&gt;=$B12,'Inputs&amp;Results'!$C$37,0)</f>
        <v>0</v>
      </c>
      <c r="R12" s="167">
        <f t="shared" si="4"/>
        <v>0</v>
      </c>
      <c r="S12" s="167">
        <f t="shared" si="9"/>
        <v>83.593416373888601</v>
      </c>
      <c r="T12" s="167">
        <f t="shared" si="10"/>
        <v>-94.422674191400063</v>
      </c>
      <c r="U12" s="165"/>
    </row>
    <row r="13" spans="2:21">
      <c r="B13" s="166">
        <f t="shared" si="0"/>
        <v>7</v>
      </c>
      <c r="C13" s="167"/>
      <c r="D13" s="170">
        <f>IF('Inputs&amp;Results'!$C$6&lt;Calculations!B13,0,'Inputs&amp;Results'!$C$14*(1-'Inputs&amp;Results'!$C$15)^Calculations!B12)</f>
        <v>1473.2016918203142</v>
      </c>
      <c r="E13" s="174">
        <f>IF('Inputs&amp;Results'!$C$6&gt;=B13,D13*'Inputs&amp;Results'!$C$35,0)</f>
        <v>125.07482363554467</v>
      </c>
      <c r="F13" s="175">
        <f>IF('Inputs&amp;Results'!$C$6&gt;=B13,IF($D13&gt;0,+$F12*(1+'Inputs&amp;Results'!$C$20),0),0)</f>
        <v>-36.037197416448002</v>
      </c>
      <c r="G13" s="175">
        <f>IF(LoanCalculation!$E$11&gt;=Calculations!$B13,-LoanCalculation!$O31,0)</f>
        <v>-8.5558323122607263</v>
      </c>
      <c r="H13" s="175">
        <f>IF(LoanCalculation!$E$11&gt;=Calculations!$B13,-LoanCalculation!$N31,0)</f>
        <v>-223.2677322141684</v>
      </c>
      <c r="I13" s="175">
        <f t="shared" si="5"/>
        <v>1.9895196601282805E-13</v>
      </c>
      <c r="J13" s="177">
        <f t="shared" si="1"/>
        <v>0.62274974188459109</v>
      </c>
      <c r="K13" s="178">
        <f t="shared" si="2"/>
        <v>0.65807233094422701</v>
      </c>
      <c r="L13" s="85">
        <f t="shared" si="3"/>
        <v>0</v>
      </c>
      <c r="M13" s="175">
        <f t="shared" si="6"/>
        <v>-166.81022036093665</v>
      </c>
      <c r="N13" s="170">
        <f t="shared" si="7"/>
        <v>917.43597332504362</v>
      </c>
      <c r="O13" s="170">
        <f t="shared" si="8"/>
        <v>-142.78593830733246</v>
      </c>
      <c r="P13" s="169">
        <f t="shared" si="11"/>
        <v>-2577.1950748031954</v>
      </c>
      <c r="Q13" s="167">
        <f>IF('Inputs&amp;Results'!$C$6&gt;=$B13,'Inputs&amp;Results'!$C$37,0)</f>
        <v>0</v>
      </c>
      <c r="R13" s="167">
        <f t="shared" si="4"/>
        <v>0</v>
      </c>
      <c r="S13" s="167">
        <f t="shared" si="9"/>
        <v>77.890314135296194</v>
      </c>
      <c r="T13" s="167">
        <f t="shared" si="10"/>
        <v>-88.91990622564046</v>
      </c>
      <c r="U13" s="165"/>
    </row>
    <row r="14" spans="2:21">
      <c r="B14" s="166">
        <f t="shared" si="0"/>
        <v>8</v>
      </c>
      <c r="C14" s="167"/>
      <c r="D14" s="170">
        <f>IF('Inputs&amp;Results'!$C$6&lt;Calculations!B14,0,'Inputs&amp;Results'!$C$14*(1-'Inputs&amp;Results'!$C$15)^Calculations!B13)</f>
        <v>1468.7820867448531</v>
      </c>
      <c r="E14" s="174">
        <f>IF('Inputs&amp;Results'!$C$6&gt;=B14,D14*'Inputs&amp;Results'!$C$35,0)</f>
        <v>124.69959916463803</v>
      </c>
      <c r="F14" s="175">
        <f>IF('Inputs&amp;Results'!$C$6&gt;=B14,IF($D14&gt;0,+$F13*(1+'Inputs&amp;Results'!$C$20),0),0)</f>
        <v>-36.757941364776961</v>
      </c>
      <c r="G14" s="175">
        <f>IF(LoanCalculation!$E$11&gt;=Calculations!$B14,-LoanCalculation!$O32,0)</f>
        <v>0</v>
      </c>
      <c r="H14" s="175">
        <f>IF(LoanCalculation!$E$11&gt;=Calculations!$B14,-LoanCalculation!$N32,0)</f>
        <v>0</v>
      </c>
      <c r="I14" s="175" t="str">
        <f t="shared" si="5"/>
        <v/>
      </c>
      <c r="J14" s="177">
        <f t="shared" si="1"/>
        <v>0.5820091045650384</v>
      </c>
      <c r="K14" s="178">
        <f t="shared" si="2"/>
        <v>0.61988727481558681</v>
      </c>
      <c r="L14" s="85">
        <f t="shared" si="3"/>
        <v>0</v>
      </c>
      <c r="M14" s="175">
        <f t="shared" si="6"/>
        <v>-21.393456539368024</v>
      </c>
      <c r="N14" s="170">
        <f t="shared" si="7"/>
        <v>854.84454710754051</v>
      </c>
      <c r="O14" s="170">
        <f t="shared" si="8"/>
        <v>87.941657799861076</v>
      </c>
      <c r="P14" s="169">
        <f t="shared" si="11"/>
        <v>-2489.2534170033346</v>
      </c>
      <c r="Q14" s="167">
        <f>IF('Inputs&amp;Results'!$C$6&gt;=$B14,'Inputs&amp;Results'!$C$37,0)</f>
        <v>0</v>
      </c>
      <c r="R14" s="167">
        <f t="shared" si="4"/>
        <v>0</v>
      </c>
      <c r="S14" s="167">
        <f t="shared" si="9"/>
        <v>72.576302049430197</v>
      </c>
      <c r="T14" s="167">
        <f t="shared" si="10"/>
        <v>51.182845510062172</v>
      </c>
      <c r="U14" s="165"/>
    </row>
    <row r="15" spans="2:21">
      <c r="B15" s="166">
        <f t="shared" si="0"/>
        <v>9</v>
      </c>
      <c r="C15" s="179"/>
      <c r="D15" s="170">
        <f>IF('Inputs&amp;Results'!$C$6&lt;Calculations!B15,0,'Inputs&amp;Results'!$C$14*(1-'Inputs&amp;Results'!$C$15)^Calculations!B14)</f>
        <v>1464.3757404846187</v>
      </c>
      <c r="E15" s="174">
        <f>IF('Inputs&amp;Results'!$C$6&gt;=B15,D15*'Inputs&amp;Results'!$C$35,0)</f>
        <v>124.32550036714413</v>
      </c>
      <c r="F15" s="175">
        <f>IF('Inputs&amp;Results'!$C$6&gt;=B15,IF($D15&gt;0,+$F14*(1+'Inputs&amp;Results'!$C$20),0),0)</f>
        <v>-37.493100192072504</v>
      </c>
      <c r="G15" s="175">
        <f>IF(LoanCalculation!$E$11&gt;=Calculations!$B15,-LoanCalculation!$O33,0)</f>
        <v>0</v>
      </c>
      <c r="H15" s="175">
        <f>IF(LoanCalculation!$E$11&gt;=Calculations!$B15,-LoanCalculation!$N33,0)</f>
        <v>0</v>
      </c>
      <c r="I15" s="175" t="str">
        <f t="shared" si="5"/>
        <v/>
      </c>
      <c r="J15" s="177">
        <f t="shared" si="1"/>
        <v>0.54393374258414806</v>
      </c>
      <c r="K15" s="178">
        <f t="shared" si="2"/>
        <v>0.58391793030857819</v>
      </c>
      <c r="L15" s="85">
        <f t="shared" si="3"/>
        <v>0</v>
      </c>
      <c r="M15" s="175">
        <f t="shared" si="6"/>
        <v>-20.393762308556436</v>
      </c>
      <c r="N15" s="170">
        <f t="shared" si="7"/>
        <v>796.52337707123183</v>
      </c>
      <c r="O15" s="170">
        <f t="shared" si="8"/>
        <v>86.832400175071626</v>
      </c>
      <c r="P15" s="169">
        <f t="shared" si="11"/>
        <v>-2402.421016828263</v>
      </c>
      <c r="Q15" s="167">
        <f>IF('Inputs&amp;Results'!$C$6&gt;=$B15,'Inputs&amp;Results'!$C$37,0)</f>
        <v>0</v>
      </c>
      <c r="R15" s="167">
        <f t="shared" si="4"/>
        <v>0</v>
      </c>
      <c r="S15" s="167">
        <f t="shared" si="9"/>
        <v>67.624834713347582</v>
      </c>
      <c r="T15" s="167">
        <f t="shared" si="10"/>
        <v>47.231072404791149</v>
      </c>
      <c r="U15" s="165"/>
    </row>
    <row r="16" spans="2:21">
      <c r="B16" s="166">
        <f t="shared" si="0"/>
        <v>10</v>
      </c>
      <c r="C16" s="179"/>
      <c r="D16" s="170">
        <f>IF('Inputs&amp;Results'!$C$6&lt;Calculations!B16,0,'Inputs&amp;Results'!$C$14*(1-'Inputs&amp;Results'!$C$15)^Calculations!B15)</f>
        <v>1459.9826132631647</v>
      </c>
      <c r="E16" s="174">
        <f>IF('Inputs&amp;Results'!$C$6&gt;=B16,D16*'Inputs&amp;Results'!$C$35,0)</f>
        <v>123.95252386604268</v>
      </c>
      <c r="F16" s="175">
        <f>IF('Inputs&amp;Results'!$C$6&gt;=B16,IF($D16&gt;0,+$F15*(1+'Inputs&amp;Results'!$C$20),0),0)</f>
        <v>-38.242962195913954</v>
      </c>
      <c r="G16" s="175">
        <f>IF(LoanCalculation!$E$11&gt;=Calculations!$B16,-LoanCalculation!$O34,0)</f>
        <v>0</v>
      </c>
      <c r="H16" s="175">
        <f>IF(LoanCalculation!$E$11&gt;=Calculations!$B16,-LoanCalculation!$N34,0)</f>
        <v>0</v>
      </c>
      <c r="I16" s="175" t="str">
        <f t="shared" si="5"/>
        <v/>
      </c>
      <c r="J16" s="177">
        <f t="shared" si="1"/>
        <v>0.5083492921347178</v>
      </c>
      <c r="K16" s="178">
        <f t="shared" si="2"/>
        <v>0.5500357293788416</v>
      </c>
      <c r="L16" s="85">
        <f t="shared" si="3"/>
        <v>0</v>
      </c>
      <c r="M16" s="175">
        <f t="shared" si="6"/>
        <v>-19.440782761427631</v>
      </c>
      <c r="N16" s="170">
        <f t="shared" si="7"/>
        <v>742.18112798132518</v>
      </c>
      <c r="O16" s="170">
        <f t="shared" si="8"/>
        <v>85.709561670128721</v>
      </c>
      <c r="P16" s="169">
        <f t="shared" si="11"/>
        <v>-2316.7114551581344</v>
      </c>
      <c r="Q16" s="167">
        <f>IF('Inputs&amp;Results'!$C$6&gt;=$B16,'Inputs&amp;Results'!$C$37,0)</f>
        <v>0</v>
      </c>
      <c r="R16" s="167">
        <f t="shared" si="4"/>
        <v>0</v>
      </c>
      <c r="S16" s="167">
        <f t="shared" si="9"/>
        <v>63.011177765614512</v>
      </c>
      <c r="T16" s="167">
        <f t="shared" si="10"/>
        <v>43.570395004186878</v>
      </c>
      <c r="U16" s="165"/>
    </row>
    <row r="17" spans="2:21">
      <c r="B17" s="166">
        <f t="shared" si="0"/>
        <v>11</v>
      </c>
      <c r="C17" s="179"/>
      <c r="D17" s="170">
        <f>IF('Inputs&amp;Results'!$C$6&lt;Calculations!B17,0,'Inputs&amp;Results'!$C$14*(1-'Inputs&amp;Results'!$C$15)^Calculations!B16)</f>
        <v>1455.6026654233754</v>
      </c>
      <c r="E17" s="174">
        <f>IF('Inputs&amp;Results'!$C$6&gt;=B17,D17*'Inputs&amp;Results'!$C$35,0)</f>
        <v>123.58066629444457</v>
      </c>
      <c r="F17" s="175">
        <f>IF('Inputs&amp;Results'!$C$6&gt;=B17,IF($D17&gt;0,+$F16*(1+'Inputs&amp;Results'!$C$20),0),0)</f>
        <v>-39.007821439832234</v>
      </c>
      <c r="G17" s="175">
        <f>IF(LoanCalculation!$E$11&gt;=Calculations!$B17,-LoanCalculation!$O35,0)</f>
        <v>0</v>
      </c>
      <c r="H17" s="175">
        <f>IF(LoanCalculation!$E$11&gt;=Calculations!$B17,-LoanCalculation!$N35,0)</f>
        <v>0</v>
      </c>
      <c r="I17" s="175" t="str">
        <f t="shared" si="5"/>
        <v/>
      </c>
      <c r="J17" s="177">
        <f t="shared" si="1"/>
        <v>0.47509279638758667</v>
      </c>
      <c r="K17" s="178">
        <f t="shared" si="2"/>
        <v>0.51811956422272187</v>
      </c>
      <c r="L17" s="85">
        <f t="shared" si="3"/>
        <v>0</v>
      </c>
      <c r="M17" s="175">
        <f t="shared" si="6"/>
        <v>-18.532334968837553</v>
      </c>
      <c r="N17" s="170">
        <f t="shared" si="7"/>
        <v>691.54634074521607</v>
      </c>
      <c r="O17" s="170">
        <f t="shared" si="8"/>
        <v>84.572844854612327</v>
      </c>
      <c r="P17" s="169">
        <f t="shared" si="11"/>
        <v>-2232.138610303522</v>
      </c>
      <c r="Q17" s="167">
        <f>IF('Inputs&amp;Results'!$C$6&gt;=$B17,'Inputs&amp;Results'!$C$37,0)</f>
        <v>0</v>
      </c>
      <c r="R17" s="167">
        <f t="shared" si="4"/>
        <v>0</v>
      </c>
      <c r="S17" s="167">
        <f t="shared" si="9"/>
        <v>58.712284329268847</v>
      </c>
      <c r="T17" s="167">
        <f t="shared" si="10"/>
        <v>40.179949360431294</v>
      </c>
      <c r="U17" s="165"/>
    </row>
    <row r="18" spans="2:21">
      <c r="B18" s="166">
        <f t="shared" si="0"/>
        <v>12</v>
      </c>
      <c r="C18" s="179"/>
      <c r="D18" s="170">
        <f>IF('Inputs&amp;Results'!$C$6&lt;Calculations!B18,0,'Inputs&amp;Results'!$C$14*(1-'Inputs&amp;Results'!$C$15)^Calculations!B17)</f>
        <v>1451.2358574271052</v>
      </c>
      <c r="E18" s="174">
        <f>IF('Inputs&amp;Results'!$C$6&gt;=B18,D18*'Inputs&amp;Results'!$C$35,0)</f>
        <v>123.20992429556124</v>
      </c>
      <c r="F18" s="175">
        <f>IF('Inputs&amp;Results'!$C$6&gt;=B18,IF($D18&gt;0,+$F17*(1+'Inputs&amp;Results'!$C$20),0),0)</f>
        <v>-39.787977868628879</v>
      </c>
      <c r="G18" s="175">
        <f>IF(LoanCalculation!$E$11&gt;=Calculations!$B18,-LoanCalculation!$O36,0)</f>
        <v>0</v>
      </c>
      <c r="H18" s="175">
        <f>IF(LoanCalculation!$E$11&gt;=Calculations!$B18,-LoanCalculation!$N36,0)</f>
        <v>0</v>
      </c>
      <c r="I18" s="175" t="str">
        <f t="shared" si="5"/>
        <v/>
      </c>
      <c r="J18" s="177">
        <f t="shared" si="1"/>
        <v>0.44401195924073528</v>
      </c>
      <c r="K18" s="178">
        <f t="shared" si="2"/>
        <v>0.48805535439216446</v>
      </c>
      <c r="L18" s="85">
        <f t="shared" si="3"/>
        <v>0</v>
      </c>
      <c r="M18" s="175">
        <f t="shared" si="6"/>
        <v>-17.666338007676924</v>
      </c>
      <c r="N18" s="170">
        <f t="shared" si="7"/>
        <v>644.36607637661734</v>
      </c>
      <c r="O18" s="170">
        <f t="shared" si="8"/>
        <v>83.421946426932351</v>
      </c>
      <c r="P18" s="169">
        <f t="shared" si="11"/>
        <v>-2148.7166638765898</v>
      </c>
      <c r="Q18" s="167">
        <f>IF('Inputs&amp;Results'!$C$6&gt;=$B18,'Inputs&amp;Results'!$C$37,0)</f>
        <v>0</v>
      </c>
      <c r="R18" s="167">
        <f t="shared" si="4"/>
        <v>0</v>
      </c>
      <c r="S18" s="167">
        <f t="shared" si="9"/>
        <v>54.706679884374815</v>
      </c>
      <c r="T18" s="167">
        <f t="shared" si="10"/>
        <v>37.040341876697894</v>
      </c>
      <c r="U18" s="165"/>
    </row>
    <row r="19" spans="2:21">
      <c r="B19" s="166">
        <f t="shared" si="0"/>
        <v>13</v>
      </c>
      <c r="C19" s="179"/>
      <c r="D19" s="170">
        <f>IF('Inputs&amp;Results'!$C$6&lt;Calculations!B19,0,'Inputs&amp;Results'!$C$14*(1-'Inputs&amp;Results'!$C$15)^Calculations!B18)</f>
        <v>1446.8821498548239</v>
      </c>
      <c r="E19" s="174">
        <f>IF('Inputs&amp;Results'!$C$6&gt;=B19,D19*'Inputs&amp;Results'!$C$35,0)</f>
        <v>122.84029452267455</v>
      </c>
      <c r="F19" s="175">
        <f>IF('Inputs&amp;Results'!$C$6&gt;=B19,IF($D19&gt;0,+$F18*(1+'Inputs&amp;Results'!$C$20),0),0)</f>
        <v>-40.583737426001456</v>
      </c>
      <c r="G19" s="175">
        <f>IF(LoanCalculation!$E$11&gt;=Calculations!$B19,-LoanCalculation!$O37,0)</f>
        <v>0</v>
      </c>
      <c r="H19" s="175">
        <f>IF(LoanCalculation!$E$11&gt;=Calculations!$B19,-LoanCalculation!$N37,0)</f>
        <v>0</v>
      </c>
      <c r="I19" s="175" t="str">
        <f t="shared" si="5"/>
        <v/>
      </c>
      <c r="J19" s="177">
        <f t="shared" si="1"/>
        <v>0.41496444788853759</v>
      </c>
      <c r="K19" s="178">
        <f t="shared" si="2"/>
        <v>0.45973563902803727</v>
      </c>
      <c r="L19" s="85">
        <f t="shared" si="3"/>
        <v>0</v>
      </c>
      <c r="M19" s="175">
        <f t="shared" si="6"/>
        <v>-16.840808194234075</v>
      </c>
      <c r="N19" s="170">
        <f t="shared" si="7"/>
        <v>600.40465247428733</v>
      </c>
      <c r="O19" s="170">
        <f t="shared" si="8"/>
        <v>82.256557096673106</v>
      </c>
      <c r="P19" s="169">
        <f t="shared" si="11"/>
        <v>-2066.4601067799167</v>
      </c>
      <c r="Q19" s="167">
        <f>IF('Inputs&amp;Results'!$C$6&gt;=$B19,'Inputs&amp;Results'!$C$37,0)</f>
        <v>0</v>
      </c>
      <c r="R19" s="167">
        <f t="shared" si="4"/>
        <v>0</v>
      </c>
      <c r="S19" s="167">
        <f t="shared" si="9"/>
        <v>50.974354995066996</v>
      </c>
      <c r="T19" s="167">
        <f t="shared" si="10"/>
        <v>34.133546800832917</v>
      </c>
      <c r="U19" s="165"/>
    </row>
    <row r="20" spans="2:21">
      <c r="B20" s="166">
        <f t="shared" si="0"/>
        <v>14</v>
      </c>
      <c r="C20" s="179"/>
      <c r="D20" s="170">
        <f>IF('Inputs&amp;Results'!$C$6&lt;Calculations!B20,0,'Inputs&amp;Results'!$C$14*(1-'Inputs&amp;Results'!$C$15)^Calculations!B19)</f>
        <v>1442.5415034052594</v>
      </c>
      <c r="E20" s="174">
        <f>IF('Inputs&amp;Results'!$C$6&gt;=B20,D20*'Inputs&amp;Results'!$C$35,0)</f>
        <v>122.47177363910653</v>
      </c>
      <c r="F20" s="175">
        <f>IF('Inputs&amp;Results'!$C$6&gt;=B20,IF($D20&gt;0,+$F19*(1+'Inputs&amp;Results'!$C$20),0),0)</f>
        <v>-41.395412174521482</v>
      </c>
      <c r="G20" s="175">
        <f>IF(LoanCalculation!$E$11&gt;=Calculations!$B20,-LoanCalculation!$O38,0)</f>
        <v>0</v>
      </c>
      <c r="H20" s="175">
        <f>IF(LoanCalculation!$E$11&gt;=Calculations!$B20,-LoanCalculation!$N38,0)</f>
        <v>0</v>
      </c>
      <c r="I20" s="175" t="str">
        <f t="shared" si="5"/>
        <v/>
      </c>
      <c r="J20" s="177">
        <f t="shared" si="1"/>
        <v>0.3878172410173249</v>
      </c>
      <c r="K20" s="178">
        <f t="shared" si="2"/>
        <v>0.43305919275436827</v>
      </c>
      <c r="L20" s="85">
        <f t="shared" si="3"/>
        <v>0</v>
      </c>
      <c r="M20" s="175">
        <f t="shared" si="6"/>
        <v>-16.053854540297902</v>
      </c>
      <c r="N20" s="170">
        <f t="shared" si="7"/>
        <v>559.44246590361172</v>
      </c>
      <c r="O20" s="170">
        <f t="shared" si="8"/>
        <v>81.076361464585048</v>
      </c>
      <c r="P20" s="169">
        <f t="shared" si="11"/>
        <v>-1985.3837453153317</v>
      </c>
      <c r="Q20" s="167">
        <f>IF('Inputs&amp;Results'!$C$6&gt;=$B20,'Inputs&amp;Results'!$C$37,0)</f>
        <v>0</v>
      </c>
      <c r="R20" s="167">
        <f t="shared" si="4"/>
        <v>0</v>
      </c>
      <c r="S20" s="167">
        <f t="shared" si="9"/>
        <v>47.496665355216635</v>
      </c>
      <c r="T20" s="167">
        <f t="shared" si="10"/>
        <v>31.442810814918733</v>
      </c>
      <c r="U20" s="165"/>
    </row>
    <row r="21" spans="2:21">
      <c r="B21" s="166">
        <f t="shared" si="0"/>
        <v>15</v>
      </c>
      <c r="C21" s="46"/>
      <c r="D21" s="170">
        <f>IF('Inputs&amp;Results'!$C$6&lt;Calculations!B21,0,'Inputs&amp;Results'!$C$14*(1-'Inputs&amp;Results'!$C$15)^Calculations!B20)</f>
        <v>1438.2138788950438</v>
      </c>
      <c r="E21" s="174">
        <f>IF('Inputs&amp;Results'!$C$6&gt;=B21,D21*'Inputs&amp;Results'!$C$35,0)</f>
        <v>122.10435831818921</v>
      </c>
      <c r="F21" s="175">
        <f>IF('Inputs&amp;Results'!$C$6&gt;=B21,IF($D21&gt;0,+$F20*(1+'Inputs&amp;Results'!$C$20),0),0)</f>
        <v>-42.223320418011916</v>
      </c>
      <c r="G21" s="175">
        <f>IF(LoanCalculation!$E$11&gt;=Calculations!$B21,-LoanCalculation!$O39,0)</f>
        <v>0</v>
      </c>
      <c r="H21" s="175">
        <f>IF(LoanCalculation!$E$11&gt;=Calculations!$B21,-LoanCalculation!$N39,0)</f>
        <v>0</v>
      </c>
      <c r="I21" s="175" t="str">
        <f t="shared" si="5"/>
        <v/>
      </c>
      <c r="J21" s="177">
        <f t="shared" si="1"/>
        <v>0.36244601964235967</v>
      </c>
      <c r="K21" s="178">
        <f t="shared" si="2"/>
        <v>0.40793066386055782</v>
      </c>
      <c r="L21" s="85">
        <f t="shared" si="3"/>
        <v>0</v>
      </c>
      <c r="M21" s="175">
        <f t="shared" si="6"/>
        <v>-15.303674421592394</v>
      </c>
      <c r="N21" s="170">
        <f t="shared" si="7"/>
        <v>521.27489579990731</v>
      </c>
      <c r="O21" s="170">
        <f t="shared" si="8"/>
        <v>79.88103790017729</v>
      </c>
      <c r="P21" s="169">
        <f t="shared" si="11"/>
        <v>-1905.5027074151544</v>
      </c>
      <c r="Q21" s="167">
        <f>IF('Inputs&amp;Results'!$C$6&gt;=$B21,'Inputs&amp;Results'!$C$37,0)</f>
        <v>0</v>
      </c>
      <c r="R21" s="167">
        <f t="shared" si="4"/>
        <v>0</v>
      </c>
      <c r="S21" s="167">
        <f t="shared" si="9"/>
        <v>44.256238653412133</v>
      </c>
      <c r="T21" s="167">
        <f t="shared" si="10"/>
        <v>28.952564231819739</v>
      </c>
      <c r="U21" s="165"/>
    </row>
    <row r="22" spans="2:21">
      <c r="B22" s="166">
        <f t="shared" si="0"/>
        <v>16</v>
      </c>
      <c r="C22" s="179"/>
      <c r="D22" s="170">
        <f>IF('Inputs&amp;Results'!$C$6&lt;Calculations!B22,0,'Inputs&amp;Results'!$C$14*(1-'Inputs&amp;Results'!$C$15)^Calculations!B21)</f>
        <v>1433.8992372583587</v>
      </c>
      <c r="E22" s="174">
        <f>IF('Inputs&amp;Results'!$C$6&gt;=B22,D22*'Inputs&amp;Results'!$C$35,0)</f>
        <v>121.73804524323465</v>
      </c>
      <c r="F22" s="175">
        <f>IF('Inputs&amp;Results'!$C$6&gt;=B22,IF($D22&gt;0,+$F21*(1+'Inputs&amp;Results'!$C$20),0),0)</f>
        <v>-43.067786826372156</v>
      </c>
      <c r="G22" s="175">
        <f>IF(LoanCalculation!$E$11&gt;=Calculations!$B22,-LoanCalculation!$O40,0)</f>
        <v>0</v>
      </c>
      <c r="H22" s="175">
        <f>IF(LoanCalculation!$E$11&gt;=Calculations!$B22,-LoanCalculation!$N40,0)</f>
        <v>0</v>
      </c>
      <c r="I22" s="175" t="str">
        <f t="shared" si="5"/>
        <v/>
      </c>
      <c r="J22" s="177">
        <f t="shared" si="1"/>
        <v>0.33873459779659787</v>
      </c>
      <c r="K22" s="178">
        <f t="shared" si="2"/>
        <v>0.3842602334782948</v>
      </c>
      <c r="L22" s="85">
        <f t="shared" si="3"/>
        <v>0</v>
      </c>
      <c r="M22" s="175">
        <f t="shared" si="6"/>
        <v>-14.588549448620789</v>
      </c>
      <c r="N22" s="170">
        <f t="shared" si="7"/>
        <v>485.71128141355859</v>
      </c>
      <c r="O22" s="170">
        <f t="shared" si="8"/>
        <v>78.670258416862495</v>
      </c>
      <c r="P22" s="169">
        <f t="shared" si="11"/>
        <v>-1826.832448998292</v>
      </c>
      <c r="Q22" s="167">
        <f>IF('Inputs&amp;Results'!$C$6&gt;=$B22,'Inputs&amp;Results'!$C$37,0)</f>
        <v>0</v>
      </c>
      <c r="R22" s="167">
        <f t="shared" si="4"/>
        <v>0</v>
      </c>
      <c r="S22" s="167">
        <f t="shared" si="9"/>
        <v>41.236887792011125</v>
      </c>
      <c r="T22" s="167">
        <f t="shared" si="10"/>
        <v>26.648338343390336</v>
      </c>
      <c r="U22" s="165"/>
    </row>
    <row r="23" spans="2:21">
      <c r="B23" s="166">
        <f t="shared" si="0"/>
        <v>17</v>
      </c>
      <c r="C23" s="179"/>
      <c r="D23" s="170">
        <f>IF('Inputs&amp;Results'!$C$6&lt;Calculations!B23,0,'Inputs&amp;Results'!$C$14*(1-'Inputs&amp;Results'!$C$15)^Calculations!B22)</f>
        <v>1429.5975395465837</v>
      </c>
      <c r="E23" s="174">
        <f>IF('Inputs&amp;Results'!$C$6&gt;=B23,D23*'Inputs&amp;Results'!$C$35,0)</f>
        <v>121.37283110750496</v>
      </c>
      <c r="F23" s="175">
        <f>IF('Inputs&amp;Results'!$C$6&gt;=B23,IF($D23&gt;0,+$F22*(1+'Inputs&amp;Results'!$C$20),0),0)</f>
        <v>-43.9291425628996</v>
      </c>
      <c r="G23" s="175">
        <f>IF(LoanCalculation!$E$11&gt;=Calculations!$B23,-LoanCalculation!$O41,0)</f>
        <v>0</v>
      </c>
      <c r="H23" s="175">
        <f>IF(LoanCalculation!$E$11&gt;=Calculations!$B23,-LoanCalculation!$N41,0)</f>
        <v>0</v>
      </c>
      <c r="I23" s="175" t="str">
        <f t="shared" si="5"/>
        <v/>
      </c>
      <c r="J23" s="177">
        <f t="shared" si="1"/>
        <v>0.31657439046411018</v>
      </c>
      <c r="K23" s="178">
        <f t="shared" si="2"/>
        <v>0.3619632945349423</v>
      </c>
      <c r="L23" s="85">
        <f t="shared" si="3"/>
        <v>0</v>
      </c>
      <c r="M23" s="175">
        <f t="shared" si="6"/>
        <v>-13.906841530460939</v>
      </c>
      <c r="N23" s="170">
        <f t="shared" si="7"/>
        <v>452.57396969095134</v>
      </c>
      <c r="O23" s="170">
        <f t="shared" si="8"/>
        <v>77.443688544605365</v>
      </c>
      <c r="P23" s="169">
        <f t="shared" si="11"/>
        <v>-1749.3887604536867</v>
      </c>
      <c r="Q23" s="167">
        <f>IF('Inputs&amp;Results'!$C$6&gt;=$B23,'Inputs&amp;Results'!$C$37,0)</f>
        <v>0</v>
      </c>
      <c r="R23" s="167">
        <f t="shared" si="4"/>
        <v>0</v>
      </c>
      <c r="S23" s="167">
        <f t="shared" si="9"/>
        <v>38.423530026761775</v>
      </c>
      <c r="T23" s="167">
        <f t="shared" si="10"/>
        <v>24.516688496300837</v>
      </c>
      <c r="U23" s="165"/>
    </row>
    <row r="24" spans="2:21">
      <c r="B24" s="166">
        <f t="shared" si="0"/>
        <v>18</v>
      </c>
      <c r="C24" s="179"/>
      <c r="D24" s="170">
        <f>IF('Inputs&amp;Results'!$C$6&lt;Calculations!B24,0,'Inputs&amp;Results'!$C$14*(1-'Inputs&amp;Results'!$C$15)^Calculations!B23)</f>
        <v>1425.308746927944</v>
      </c>
      <c r="E24" s="174">
        <f>IF('Inputs&amp;Results'!$C$6&gt;=B24,D24*'Inputs&amp;Results'!$C$35,0)</f>
        <v>121.00871261418244</v>
      </c>
      <c r="F24" s="175">
        <f>IF('Inputs&amp;Results'!$C$6&gt;=B24,IF($D24&gt;0,+$F23*(1+'Inputs&amp;Results'!$C$20),0),0)</f>
        <v>-44.807725414157595</v>
      </c>
      <c r="G24" s="175">
        <f>IF(LoanCalculation!$E$11&gt;=Calculations!$B24,-LoanCalculation!$O42,0)</f>
        <v>0</v>
      </c>
      <c r="H24" s="175">
        <f>IF(LoanCalculation!$E$11&gt;=Calculations!$B24,-LoanCalculation!$N42,0)</f>
        <v>0</v>
      </c>
      <c r="I24" s="175" t="str">
        <f t="shared" si="5"/>
        <v/>
      </c>
      <c r="J24" s="177">
        <f t="shared" si="1"/>
        <v>0.29586391632159825</v>
      </c>
      <c r="K24" s="178">
        <f t="shared" si="2"/>
        <v>0.34096014933585367</v>
      </c>
      <c r="L24" s="85">
        <f t="shared" si="3"/>
        <v>0</v>
      </c>
      <c r="M24" s="175">
        <f t="shared" si="6"/>
        <v>-13.256989122495474</v>
      </c>
      <c r="N24" s="170">
        <f t="shared" si="7"/>
        <v>421.69742783353126</v>
      </c>
      <c r="O24" s="170">
        <f t="shared" si="8"/>
        <v>76.200987200024855</v>
      </c>
      <c r="P24" s="169">
        <f t="shared" si="11"/>
        <v>-1673.1877732536618</v>
      </c>
      <c r="Q24" s="167">
        <f>IF('Inputs&amp;Results'!$C$6&gt;=$B24,'Inputs&amp;Results'!$C$37,0)</f>
        <v>0</v>
      </c>
      <c r="R24" s="167">
        <f t="shared" si="4"/>
        <v>0</v>
      </c>
      <c r="S24" s="167">
        <f t="shared" si="9"/>
        <v>35.802111623066807</v>
      </c>
      <c r="T24" s="167">
        <f t="shared" si="10"/>
        <v>22.545122500571331</v>
      </c>
      <c r="U24" s="165"/>
    </row>
    <row r="25" spans="2:21">
      <c r="B25" s="166">
        <f t="shared" si="0"/>
        <v>19</v>
      </c>
      <c r="C25" s="179"/>
      <c r="D25" s="170">
        <f>IF('Inputs&amp;Results'!$C$6&lt;Calculations!B25,0,'Inputs&amp;Results'!$C$14*(1-'Inputs&amp;Results'!$C$15)^Calculations!B24)</f>
        <v>0</v>
      </c>
      <c r="E25" s="174">
        <f>IF('Inputs&amp;Results'!$C$6&gt;=B25,D25*'Inputs&amp;Results'!$C$35,0)</f>
        <v>0</v>
      </c>
      <c r="F25" s="175">
        <f>IF('Inputs&amp;Results'!$C$6&gt;=B25,IF($D25&gt;0,+$F24*(1+'Inputs&amp;Results'!$C$20),0),0)</f>
        <v>0</v>
      </c>
      <c r="G25" s="175">
        <f>IF(LoanCalculation!$E$11&gt;=Calculations!$B25,-LoanCalculation!$O43,0)</f>
        <v>0</v>
      </c>
      <c r="H25" s="175">
        <f>IF(LoanCalculation!$E$11&gt;=Calculations!$B25,-LoanCalculation!$N43,0)</f>
        <v>0</v>
      </c>
      <c r="I25" s="175" t="str">
        <f t="shared" si="5"/>
        <v/>
      </c>
      <c r="J25" s="177">
        <f t="shared" si="1"/>
        <v>0.27650833301083949</v>
      </c>
      <c r="K25" s="178">
        <f t="shared" si="2"/>
        <v>0.32117572469466243</v>
      </c>
      <c r="L25" s="85">
        <f t="shared" si="3"/>
        <v>0</v>
      </c>
      <c r="M25" s="175">
        <f t="shared" si="6"/>
        <v>0</v>
      </c>
      <c r="N25" s="170">
        <f t="shared" si="7"/>
        <v>0</v>
      </c>
      <c r="O25" s="170">
        <f t="shared" si="8"/>
        <v>0</v>
      </c>
      <c r="P25" s="169">
        <f t="shared" si="11"/>
        <v>0</v>
      </c>
      <c r="Q25" s="167">
        <f>IF('Inputs&amp;Results'!$C$6&gt;=$B25,'Inputs&amp;Results'!$C$37,0)</f>
        <v>0</v>
      </c>
      <c r="R25" s="167">
        <f t="shared" si="4"/>
        <v>0</v>
      </c>
      <c r="S25" s="167">
        <f t="shared" si="9"/>
        <v>0</v>
      </c>
      <c r="T25" s="167">
        <f t="shared" si="10"/>
        <v>0</v>
      </c>
      <c r="U25" s="111"/>
    </row>
    <row r="26" spans="2:21">
      <c r="B26" s="166">
        <f t="shared" si="0"/>
        <v>20</v>
      </c>
      <c r="C26" s="179"/>
      <c r="D26" s="170">
        <f>IF('Inputs&amp;Results'!$C$6&lt;Calculations!B26,0,'Inputs&amp;Results'!$C$14*(1-'Inputs&amp;Results'!$C$15)^Calculations!B25)</f>
        <v>0</v>
      </c>
      <c r="E26" s="174">
        <f>IF('Inputs&amp;Results'!$C$6&gt;=B26,D26*'Inputs&amp;Results'!$C$35,0)</f>
        <v>0</v>
      </c>
      <c r="F26" s="175">
        <f>IF('Inputs&amp;Results'!$C$6&gt;=B26,IF($D26&gt;0,+$F25*(1+'Inputs&amp;Results'!$C$20),0),0)</f>
        <v>0</v>
      </c>
      <c r="G26" s="175">
        <f>IF(LoanCalculation!$E$11&gt;=Calculations!$B26,-LoanCalculation!$O44,0)</f>
        <v>0</v>
      </c>
      <c r="H26" s="175">
        <f>IF(LoanCalculation!$E$11&gt;=Calculations!$B26,-LoanCalculation!$N44,0)</f>
        <v>0</v>
      </c>
      <c r="I26" s="175" t="str">
        <f t="shared" si="5"/>
        <v/>
      </c>
      <c r="J26" s="177">
        <f t="shared" si="1"/>
        <v>0.2584190028138687</v>
      </c>
      <c r="K26" s="178">
        <f t="shared" si="2"/>
        <v>0.30253930359331427</v>
      </c>
      <c r="L26" s="85">
        <f t="shared" si="3"/>
        <v>0</v>
      </c>
      <c r="M26" s="175">
        <f t="shared" si="6"/>
        <v>0</v>
      </c>
      <c r="N26" s="170">
        <f t="shared" si="7"/>
        <v>0</v>
      </c>
      <c r="O26" s="170">
        <f t="shared" si="8"/>
        <v>0</v>
      </c>
      <c r="P26" s="169">
        <f t="shared" si="11"/>
        <v>0</v>
      </c>
      <c r="Q26" s="167">
        <f>IF('Inputs&amp;Results'!$C$6&gt;=$B26,'Inputs&amp;Results'!$C$37,0)</f>
        <v>0</v>
      </c>
      <c r="R26" s="167">
        <f t="shared" si="4"/>
        <v>0</v>
      </c>
      <c r="S26" s="167">
        <f t="shared" si="9"/>
        <v>0</v>
      </c>
      <c r="T26" s="167">
        <f t="shared" si="10"/>
        <v>0</v>
      </c>
    </row>
    <row r="27" spans="2:21">
      <c r="B27" s="166">
        <f t="shared" si="0"/>
        <v>21</v>
      </c>
      <c r="C27" s="179"/>
      <c r="D27" s="170">
        <f>IF('Inputs&amp;Results'!$C$6&lt;Calculations!B27,0,'Inputs&amp;Results'!$C$14*(1-'Inputs&amp;Results'!$C$15)^Calculations!B26)</f>
        <v>0</v>
      </c>
      <c r="E27" s="174">
        <f>IF('Inputs&amp;Results'!$C$6&gt;=B27,D27*'Inputs&amp;Results'!$C$35,0)</f>
        <v>0</v>
      </c>
      <c r="F27" s="175">
        <f>IF('Inputs&amp;Results'!$C$6&gt;=B27,IF($D27&gt;0,+$F26*(1+'Inputs&amp;Results'!$C$20),0),0)</f>
        <v>0</v>
      </c>
      <c r="G27" s="175">
        <f>IF(LoanCalculation!$E$11&gt;=Calculations!$B27,-LoanCalculation!$O45,0)</f>
        <v>0</v>
      </c>
      <c r="H27" s="175">
        <f>IF(LoanCalculation!$E$11&gt;=Calculations!$B27,-LoanCalculation!$N45,0)</f>
        <v>0</v>
      </c>
      <c r="I27" s="175" t="str">
        <f t="shared" si="5"/>
        <v/>
      </c>
      <c r="J27" s="177">
        <f t="shared" si="1"/>
        <v>0.24151308674193336</v>
      </c>
      <c r="K27" s="178">
        <f t="shared" si="2"/>
        <v>0.28498427241269236</v>
      </c>
      <c r="L27" s="85">
        <f t="shared" si="3"/>
        <v>0</v>
      </c>
      <c r="M27" s="175">
        <f t="shared" si="6"/>
        <v>0</v>
      </c>
      <c r="N27" s="170">
        <f t="shared" si="7"/>
        <v>0</v>
      </c>
      <c r="O27" s="170">
        <f t="shared" si="8"/>
        <v>0</v>
      </c>
      <c r="P27" s="169">
        <f t="shared" si="11"/>
        <v>0</v>
      </c>
      <c r="Q27" s="167">
        <f>IF('Inputs&amp;Results'!$C$6&gt;=$B27,'Inputs&amp;Results'!$C$37,0)</f>
        <v>0</v>
      </c>
      <c r="R27" s="167">
        <f t="shared" si="4"/>
        <v>0</v>
      </c>
      <c r="S27" s="167">
        <f t="shared" si="9"/>
        <v>0</v>
      </c>
      <c r="T27" s="167">
        <f t="shared" si="10"/>
        <v>0</v>
      </c>
    </row>
    <row r="28" spans="2:21">
      <c r="B28" s="166">
        <f t="shared" si="0"/>
        <v>22</v>
      </c>
      <c r="C28" s="179"/>
      <c r="D28" s="170">
        <f>IF('Inputs&amp;Results'!$C$6&lt;Calculations!B28,0,'Inputs&amp;Results'!$C$14*(1-'Inputs&amp;Results'!$C$15)^Calculations!B27)</f>
        <v>0</v>
      </c>
      <c r="E28" s="174">
        <f>IF('Inputs&amp;Results'!$C$6&gt;=B28,D28*'Inputs&amp;Results'!$C$35,0)</f>
        <v>0</v>
      </c>
      <c r="F28" s="175">
        <f>IF('Inputs&amp;Results'!$C$6&gt;=B28,IF($D28&gt;0,+$F27*(1+'Inputs&amp;Results'!$C$20),0),0)</f>
        <v>0</v>
      </c>
      <c r="G28" s="175">
        <f>IF(LoanCalculation!$E$11&gt;=Calculations!$B28,-LoanCalculation!$O46,0)</f>
        <v>0</v>
      </c>
      <c r="H28" s="175">
        <f>IF(LoanCalculation!$E$11&gt;=Calculations!$B28,-LoanCalculation!$N46,0)</f>
        <v>0</v>
      </c>
      <c r="I28" s="175" t="str">
        <f t="shared" si="5"/>
        <v/>
      </c>
      <c r="J28" s="177">
        <f t="shared" si="1"/>
        <v>0.22571316517937698</v>
      </c>
      <c r="K28" s="178">
        <f t="shared" si="2"/>
        <v>0.26844788283034321</v>
      </c>
      <c r="L28" s="85">
        <f t="shared" si="3"/>
        <v>0</v>
      </c>
      <c r="M28" s="175">
        <f t="shared" si="6"/>
        <v>0</v>
      </c>
      <c r="N28" s="170">
        <f t="shared" si="7"/>
        <v>0</v>
      </c>
      <c r="O28" s="170">
        <f t="shared" si="8"/>
        <v>0</v>
      </c>
      <c r="P28" s="169">
        <f t="shared" si="11"/>
        <v>0</v>
      </c>
      <c r="Q28" s="167">
        <f>IF('Inputs&amp;Results'!$C$6&gt;=$B28,'Inputs&amp;Results'!$C$37,0)</f>
        <v>0</v>
      </c>
      <c r="R28" s="167">
        <f t="shared" si="4"/>
        <v>0</v>
      </c>
      <c r="S28" s="167">
        <f t="shared" si="9"/>
        <v>0</v>
      </c>
      <c r="T28" s="167">
        <f t="shared" si="10"/>
        <v>0</v>
      </c>
    </row>
    <row r="29" spans="2:21">
      <c r="B29" s="166">
        <f t="shared" si="0"/>
        <v>23</v>
      </c>
      <c r="C29" s="179"/>
      <c r="D29" s="170">
        <f>IF('Inputs&amp;Results'!$C$6&lt;Calculations!B29,0,'Inputs&amp;Results'!$C$14*(1-'Inputs&amp;Results'!$C$15)^Calculations!B28)</f>
        <v>0</v>
      </c>
      <c r="E29" s="174">
        <f>IF('Inputs&amp;Results'!$C$6&gt;=B29,D29*'Inputs&amp;Results'!$C$35,0)</f>
        <v>0</v>
      </c>
      <c r="F29" s="175">
        <f>IF('Inputs&amp;Results'!$C$6&gt;=B29,IF($D29&gt;0,+$F28*(1+'Inputs&amp;Results'!$C$20),0),0)</f>
        <v>0</v>
      </c>
      <c r="G29" s="175">
        <f>IF(LoanCalculation!$E$11&gt;=Calculations!$B29,-LoanCalculation!$O47,0)</f>
        <v>0</v>
      </c>
      <c r="H29" s="175">
        <f>IF(LoanCalculation!$E$11&gt;=Calculations!$B29,-LoanCalculation!$N47,0)</f>
        <v>0</v>
      </c>
      <c r="I29" s="175" t="str">
        <f t="shared" si="5"/>
        <v/>
      </c>
      <c r="J29" s="177">
        <f t="shared" si="1"/>
        <v>0.21094688334521211</v>
      </c>
      <c r="K29" s="178">
        <f t="shared" si="2"/>
        <v>0.25287102753423435</v>
      </c>
      <c r="L29" s="85">
        <f t="shared" si="3"/>
        <v>0</v>
      </c>
      <c r="M29" s="175">
        <f t="shared" si="6"/>
        <v>0</v>
      </c>
      <c r="N29" s="170">
        <f t="shared" si="7"/>
        <v>0</v>
      </c>
      <c r="O29" s="170">
        <f t="shared" si="8"/>
        <v>0</v>
      </c>
      <c r="P29" s="169">
        <f t="shared" si="11"/>
        <v>0</v>
      </c>
      <c r="Q29" s="167">
        <f>IF('Inputs&amp;Results'!$C$6&gt;=$B29,'Inputs&amp;Results'!$C$37,0)</f>
        <v>0</v>
      </c>
      <c r="R29" s="167">
        <f t="shared" si="4"/>
        <v>0</v>
      </c>
      <c r="S29" s="167">
        <f t="shared" si="9"/>
        <v>0</v>
      </c>
      <c r="T29" s="167">
        <f t="shared" si="10"/>
        <v>0</v>
      </c>
    </row>
    <row r="30" spans="2:21">
      <c r="B30" s="166">
        <f t="shared" si="0"/>
        <v>24</v>
      </c>
      <c r="C30" s="179"/>
      <c r="D30" s="170">
        <f>IF('Inputs&amp;Results'!$C$6&lt;Calculations!B30,0,'Inputs&amp;Results'!$C$14*(1-'Inputs&amp;Results'!$C$15)^Calculations!B29)</f>
        <v>0</v>
      </c>
      <c r="E30" s="174">
        <f>IF('Inputs&amp;Results'!$C$6&gt;=B30,D30*'Inputs&amp;Results'!$C$35,0)</f>
        <v>0</v>
      </c>
      <c r="F30" s="175">
        <f>IF('Inputs&amp;Results'!$C$6&gt;=B30,IF($D30&gt;0,+$F29*(1+'Inputs&amp;Results'!$C$20),0),0)</f>
        <v>0</v>
      </c>
      <c r="G30" s="175">
        <f>IF(LoanCalculation!$E$11&gt;=Calculations!$B30,-LoanCalculation!$O48,0)</f>
        <v>0</v>
      </c>
      <c r="H30" s="175">
        <f>IF(LoanCalculation!$E$11&gt;=Calculations!$B30,-LoanCalculation!$N48,0)</f>
        <v>0</v>
      </c>
      <c r="I30" s="175" t="str">
        <f t="shared" si="5"/>
        <v/>
      </c>
      <c r="J30" s="177">
        <f t="shared" si="1"/>
        <v>0.19714661994879637</v>
      </c>
      <c r="K30" s="178">
        <f t="shared" si="2"/>
        <v>0.23819802895086126</v>
      </c>
      <c r="L30" s="85">
        <f t="shared" si="3"/>
        <v>0</v>
      </c>
      <c r="M30" s="175">
        <f t="shared" si="6"/>
        <v>0</v>
      </c>
      <c r="N30" s="170">
        <f t="shared" si="7"/>
        <v>0</v>
      </c>
      <c r="O30" s="170">
        <f t="shared" si="8"/>
        <v>0</v>
      </c>
      <c r="P30" s="169">
        <f t="shared" si="11"/>
        <v>0</v>
      </c>
      <c r="Q30" s="167">
        <f>IF('Inputs&amp;Results'!$C$6&gt;=$B30,'Inputs&amp;Results'!$C$37,0)</f>
        <v>0</v>
      </c>
      <c r="R30" s="167">
        <f t="shared" si="4"/>
        <v>0</v>
      </c>
      <c r="S30" s="167">
        <f t="shared" si="9"/>
        <v>0</v>
      </c>
      <c r="T30" s="167">
        <f t="shared" si="10"/>
        <v>0</v>
      </c>
    </row>
    <row r="31" spans="2:21">
      <c r="B31" s="166">
        <f t="shared" si="0"/>
        <v>25</v>
      </c>
      <c r="C31" s="179"/>
      <c r="D31" s="170">
        <f>IF('Inputs&amp;Results'!$C$6&lt;Calculations!B31,0,'Inputs&amp;Results'!$C$14*(1-'Inputs&amp;Results'!$C$15)^Calculations!B30)</f>
        <v>0</v>
      </c>
      <c r="E31" s="174">
        <f>IF('Inputs&amp;Results'!$C$6&gt;=B31,D31*'Inputs&amp;Results'!$C$35,0)</f>
        <v>0</v>
      </c>
      <c r="F31" s="175">
        <f>IF('Inputs&amp;Results'!$C$6&gt;=B31,IF($D31&gt;0,+$F30*(1+'Inputs&amp;Results'!$C$20),0),0)</f>
        <v>0</v>
      </c>
      <c r="G31" s="175">
        <f>IF(LoanCalculation!$E$11&gt;=Calculations!$B31,-LoanCalculation!$O49,0)</f>
        <v>0</v>
      </c>
      <c r="H31" s="175">
        <f>IF(LoanCalculation!$E$11&gt;=Calculations!$B31,-LoanCalculation!$N49,0)</f>
        <v>0</v>
      </c>
      <c r="I31" s="175" t="str">
        <f t="shared" si="5"/>
        <v/>
      </c>
      <c r="J31" s="178">
        <f t="shared" si="1"/>
        <v>0.18424917752223957</v>
      </c>
      <c r="K31" s="178">
        <f t="shared" si="2"/>
        <v>0.22437644023253694</v>
      </c>
      <c r="L31" s="85">
        <f t="shared" si="3"/>
        <v>0</v>
      </c>
      <c r="M31" s="175">
        <f t="shared" si="6"/>
        <v>0</v>
      </c>
      <c r="N31" s="170">
        <f t="shared" si="7"/>
        <v>0</v>
      </c>
      <c r="O31" s="170">
        <f t="shared" si="8"/>
        <v>0</v>
      </c>
      <c r="P31" s="169">
        <f t="shared" si="11"/>
        <v>0</v>
      </c>
      <c r="Q31" s="167">
        <f>IF('Inputs&amp;Results'!$C$6&gt;=$B31,'Inputs&amp;Results'!$C$37,0)</f>
        <v>0</v>
      </c>
      <c r="R31" s="167">
        <f t="shared" si="4"/>
        <v>0</v>
      </c>
      <c r="S31" s="167">
        <f t="shared" si="9"/>
        <v>0</v>
      </c>
      <c r="T31" s="167">
        <f t="shared" si="10"/>
        <v>0</v>
      </c>
    </row>
    <row r="32" spans="2:21">
      <c r="B32" s="166">
        <f t="shared" si="0"/>
        <v>26</v>
      </c>
      <c r="C32" s="179"/>
      <c r="D32" s="170">
        <f>IF('Inputs&amp;Results'!$C$6&lt;Calculations!B32,0,'Inputs&amp;Results'!$C$14*(1-'Inputs&amp;Results'!$C$15)^Calculations!B31)</f>
        <v>0</v>
      </c>
      <c r="E32" s="174">
        <f>IF('Inputs&amp;Results'!$C$6&gt;=B32,D32*'Inputs&amp;Results'!$C$35,0)</f>
        <v>0</v>
      </c>
      <c r="F32" s="175">
        <f>IF('Inputs&amp;Results'!$C$6&gt;=B32,IF($D32&gt;0,+$F31*(1+'Inputs&amp;Results'!$C$20),0),0)</f>
        <v>0</v>
      </c>
      <c r="G32" s="175">
        <f>IF(LoanCalculation!$E$11&gt;=Calculations!$B32,-LoanCalculation!$O50,0)</f>
        <v>0</v>
      </c>
      <c r="H32" s="175">
        <f>IF(LoanCalculation!$E$11&gt;=Calculations!$B32,-LoanCalculation!$N50,0)</f>
        <v>0</v>
      </c>
      <c r="I32" s="175" t="str">
        <f t="shared" si="5"/>
        <v/>
      </c>
      <c r="J32" s="178">
        <f t="shared" si="1"/>
        <v>0.17219549301143888</v>
      </c>
      <c r="K32" s="178">
        <f t="shared" si="2"/>
        <v>0.21135685779251781</v>
      </c>
      <c r="L32" s="85">
        <f t="shared" si="3"/>
        <v>0</v>
      </c>
      <c r="M32" s="175">
        <f t="shared" si="6"/>
        <v>0</v>
      </c>
      <c r="N32" s="170">
        <f t="shared" si="7"/>
        <v>0</v>
      </c>
      <c r="O32" s="170">
        <f t="shared" si="8"/>
        <v>0</v>
      </c>
      <c r="P32" s="169">
        <f t="shared" si="11"/>
        <v>0</v>
      </c>
      <c r="Q32" s="167">
        <f>IF('Inputs&amp;Results'!$C$6&gt;=$B32,'Inputs&amp;Results'!$C$37,0)</f>
        <v>0</v>
      </c>
      <c r="R32" s="167">
        <f t="shared" si="4"/>
        <v>0</v>
      </c>
      <c r="S32" s="167">
        <f t="shared" si="9"/>
        <v>0</v>
      </c>
      <c r="T32" s="167">
        <f t="shared" si="10"/>
        <v>0</v>
      </c>
    </row>
    <row r="33" spans="2:20">
      <c r="B33" s="166">
        <f t="shared" si="0"/>
        <v>27</v>
      </c>
      <c r="C33" s="179"/>
      <c r="D33" s="170">
        <f>IF('Inputs&amp;Results'!$C$6&lt;Calculations!B33,0,'Inputs&amp;Results'!$C$14*(1-'Inputs&amp;Results'!$C$15)^Calculations!B32)</f>
        <v>0</v>
      </c>
      <c r="E33" s="174">
        <f>IF('Inputs&amp;Results'!$C$6&gt;=B33,D33*'Inputs&amp;Results'!$C$35,0)</f>
        <v>0</v>
      </c>
      <c r="F33" s="175">
        <f>IF('Inputs&amp;Results'!$C$6&gt;=B33,IF($D33&gt;0,+$F32*(1+'Inputs&amp;Results'!$C$20),0),0)</f>
        <v>0</v>
      </c>
      <c r="G33" s="175">
        <f>IF(LoanCalculation!$E$11&gt;=Calculations!$B33,-LoanCalculation!$O51,0)</f>
        <v>0</v>
      </c>
      <c r="H33" s="175">
        <f>IF(LoanCalculation!$E$11&gt;=Calculations!$B33,-LoanCalculation!$N51,0)</f>
        <v>0</v>
      </c>
      <c r="I33" s="175" t="str">
        <f t="shared" si="5"/>
        <v/>
      </c>
      <c r="J33" s="177">
        <f t="shared" si="1"/>
        <v>0.16093036730041013</v>
      </c>
      <c r="K33" s="178">
        <f t="shared" si="2"/>
        <v>0.19909274471789548</v>
      </c>
      <c r="L33" s="85">
        <f t="shared" si="3"/>
        <v>0</v>
      </c>
      <c r="M33" s="175">
        <f t="shared" si="6"/>
        <v>0</v>
      </c>
      <c r="N33" s="170">
        <f t="shared" si="7"/>
        <v>0</v>
      </c>
      <c r="O33" s="170">
        <f t="shared" si="8"/>
        <v>0</v>
      </c>
      <c r="P33" s="169">
        <f t="shared" si="11"/>
        <v>0</v>
      </c>
      <c r="Q33" s="167">
        <f>IF('Inputs&amp;Results'!$C$6&gt;=$B33,'Inputs&amp;Results'!$C$37,0)</f>
        <v>0</v>
      </c>
      <c r="R33" s="167">
        <f t="shared" si="4"/>
        <v>0</v>
      </c>
      <c r="S33" s="167">
        <f t="shared" si="9"/>
        <v>0</v>
      </c>
      <c r="T33" s="167">
        <f t="shared" si="10"/>
        <v>0</v>
      </c>
    </row>
    <row r="34" spans="2:20">
      <c r="B34" s="166">
        <f t="shared" si="0"/>
        <v>28</v>
      </c>
      <c r="C34" s="179"/>
      <c r="D34" s="170">
        <f>IF('Inputs&amp;Results'!$C$6&lt;Calculations!B34,0,'Inputs&amp;Results'!$C$14*(1-'Inputs&amp;Results'!$C$15)^Calculations!B33)</f>
        <v>0</v>
      </c>
      <c r="E34" s="174">
        <f>IF('Inputs&amp;Results'!$C$6&gt;=B34,D34*'Inputs&amp;Results'!$C$35,0)</f>
        <v>0</v>
      </c>
      <c r="F34" s="175">
        <f>IF('Inputs&amp;Results'!$C$6&gt;=B34,IF($D34&gt;0,+$F33*(1+'Inputs&amp;Results'!$C$20),0),0)</f>
        <v>0</v>
      </c>
      <c r="G34" s="175">
        <f>IF(LoanCalculation!$E$11&gt;=Calculations!$B34,-LoanCalculation!$O52,0)</f>
        <v>0</v>
      </c>
      <c r="H34" s="175">
        <f>IF(LoanCalculation!$E$11&gt;=Calculations!$B34,-LoanCalculation!$N52,0)</f>
        <v>0</v>
      </c>
      <c r="I34" s="175" t="str">
        <f t="shared" si="5"/>
        <v/>
      </c>
      <c r="J34" s="177">
        <f t="shared" si="1"/>
        <v>0.15040221243028987</v>
      </c>
      <c r="K34" s="178">
        <f t="shared" si="2"/>
        <v>0.18754026442906502</v>
      </c>
      <c r="L34" s="85">
        <f t="shared" si="3"/>
        <v>0</v>
      </c>
      <c r="M34" s="175">
        <f t="shared" si="6"/>
        <v>0</v>
      </c>
      <c r="N34" s="170">
        <f t="shared" si="7"/>
        <v>0</v>
      </c>
      <c r="O34" s="170">
        <f t="shared" si="8"/>
        <v>0</v>
      </c>
      <c r="P34" s="169">
        <f t="shared" si="11"/>
        <v>0</v>
      </c>
      <c r="Q34" s="167">
        <f>IF('Inputs&amp;Results'!$C$6&gt;=$B34,'Inputs&amp;Results'!$C$37,0)</f>
        <v>0</v>
      </c>
      <c r="R34" s="167">
        <f t="shared" si="4"/>
        <v>0</v>
      </c>
      <c r="S34" s="167">
        <f t="shared" si="9"/>
        <v>0</v>
      </c>
      <c r="T34" s="167">
        <f t="shared" si="10"/>
        <v>0</v>
      </c>
    </row>
    <row r="35" spans="2:20">
      <c r="B35" s="166">
        <f t="shared" si="0"/>
        <v>29</v>
      </c>
      <c r="C35" s="179"/>
      <c r="D35" s="170">
        <f>IF('Inputs&amp;Results'!$C$6&lt;Calculations!B35,0,'Inputs&amp;Results'!$C$14*(1-'Inputs&amp;Results'!$C$15)^Calculations!B34)</f>
        <v>0</v>
      </c>
      <c r="E35" s="174">
        <f>IF('Inputs&amp;Results'!$C$6&gt;=B35,D35*'Inputs&amp;Results'!$C$35,0)</f>
        <v>0</v>
      </c>
      <c r="F35" s="175">
        <f>IF('Inputs&amp;Results'!$C$6&gt;=B35,IF($D35&gt;0,+$F34*(1+'Inputs&amp;Results'!$C$20),0),0)</f>
        <v>0</v>
      </c>
      <c r="G35" s="175">
        <f>IF(LoanCalculation!$E$11&gt;=Calculations!$B35,-LoanCalculation!$O53,0)</f>
        <v>0</v>
      </c>
      <c r="H35" s="175">
        <f>IF(LoanCalculation!$E$11&gt;=Calculations!$B35,-LoanCalculation!$N53,0)</f>
        <v>0</v>
      </c>
      <c r="I35" s="175" t="str">
        <f t="shared" si="5"/>
        <v/>
      </c>
      <c r="J35" s="177">
        <f t="shared" si="1"/>
        <v>0.1405628153554111</v>
      </c>
      <c r="K35" s="178">
        <f t="shared" si="2"/>
        <v>0.17665812399120664</v>
      </c>
      <c r="L35" s="85">
        <f t="shared" si="3"/>
        <v>0</v>
      </c>
      <c r="M35" s="175">
        <f t="shared" si="6"/>
        <v>0</v>
      </c>
      <c r="N35" s="170">
        <f t="shared" si="7"/>
        <v>0</v>
      </c>
      <c r="O35" s="170">
        <f t="shared" si="8"/>
        <v>0</v>
      </c>
      <c r="P35" s="169">
        <f t="shared" si="11"/>
        <v>0</v>
      </c>
      <c r="Q35" s="167">
        <f>IF('Inputs&amp;Results'!$C$6&gt;=$B35,'Inputs&amp;Results'!$C$37,0)</f>
        <v>0</v>
      </c>
      <c r="R35" s="167">
        <f t="shared" si="4"/>
        <v>0</v>
      </c>
      <c r="S35" s="167">
        <f t="shared" si="9"/>
        <v>0</v>
      </c>
      <c r="T35" s="167">
        <f t="shared" si="10"/>
        <v>0</v>
      </c>
    </row>
    <row r="36" spans="2:20">
      <c r="B36" s="166">
        <f t="shared" si="0"/>
        <v>30</v>
      </c>
      <c r="C36" s="179"/>
      <c r="D36" s="170">
        <f>IF('Inputs&amp;Results'!$C$6&lt;Calculations!B36,0,'Inputs&amp;Results'!$C$14*(1-'Inputs&amp;Results'!$C$15)^Calculations!B35)</f>
        <v>0</v>
      </c>
      <c r="E36" s="174">
        <f>IF('Inputs&amp;Results'!$C$6&gt;=B36,D36*'Inputs&amp;Results'!$C$35,0)</f>
        <v>0</v>
      </c>
      <c r="F36" s="175">
        <f>IF('Inputs&amp;Results'!$C$6&gt;=B36,IF($D36&gt;0,+$F35*(1+'Inputs&amp;Results'!$C$20),0),0)</f>
        <v>0</v>
      </c>
      <c r="G36" s="175">
        <f>IF(LoanCalculation!$E$11&gt;=Calculations!$B36,-LoanCalculation!$O54,0)</f>
        <v>0</v>
      </c>
      <c r="H36" s="175">
        <f>IF(LoanCalculation!$E$11&gt;=Calculations!$B36,-LoanCalculation!$N54,0)</f>
        <v>0</v>
      </c>
      <c r="I36" s="175" t="str">
        <f t="shared" si="5"/>
        <v/>
      </c>
      <c r="J36" s="177">
        <f t="shared" si="1"/>
        <v>0.13136711715458982</v>
      </c>
      <c r="K36" s="178">
        <f t="shared" si="2"/>
        <v>0.1664074265177154</v>
      </c>
      <c r="L36" s="85">
        <f t="shared" si="3"/>
        <v>0</v>
      </c>
      <c r="M36" s="175">
        <f t="shared" si="6"/>
        <v>0</v>
      </c>
      <c r="N36" s="170">
        <f t="shared" si="7"/>
        <v>0</v>
      </c>
      <c r="O36" s="170">
        <f t="shared" si="8"/>
        <v>0</v>
      </c>
      <c r="P36" s="169">
        <f t="shared" si="11"/>
        <v>0</v>
      </c>
      <c r="Q36" s="167">
        <f>IF('Inputs&amp;Results'!$C$6&gt;=$B36,'Inputs&amp;Results'!$C$37,0)</f>
        <v>0</v>
      </c>
      <c r="R36" s="167">
        <f t="shared" si="4"/>
        <v>0</v>
      </c>
      <c r="S36" s="167">
        <f t="shared" si="9"/>
        <v>0</v>
      </c>
      <c r="T36" s="167">
        <f t="shared" si="10"/>
        <v>0</v>
      </c>
    </row>
    <row r="37" spans="2:20">
      <c r="B37" s="1"/>
      <c r="C37" s="2"/>
      <c r="D37" s="164">
        <f>SUM(D7:D36)</f>
        <v>26322.39310428008</v>
      </c>
      <c r="E37" s="180">
        <f>SUM(E7:E36)</f>
        <v>2234.7711745533788</v>
      </c>
      <c r="F37" s="180">
        <f>SUM(F6:F36)</f>
        <v>-685.19399612203688</v>
      </c>
      <c r="G37" s="180">
        <f>SUM(G6:G36)</f>
        <v>-342.7649516850035</v>
      </c>
      <c r="H37" s="180">
        <f>SUM(H6:H36)</f>
        <v>-1280</v>
      </c>
      <c r="I37" s="180"/>
      <c r="J37" s="180"/>
      <c r="K37" s="180"/>
      <c r="L37" s="180"/>
      <c r="M37" s="180">
        <f t="shared" ref="M37:T37" si="12">SUM(M6:M36)</f>
        <v>-1618.9217012558001</v>
      </c>
      <c r="N37" s="181">
        <f t="shared" si="12"/>
        <v>14788.598143150261</v>
      </c>
      <c r="O37" s="180">
        <f t="shared" si="12"/>
        <v>-1673.1877732536618</v>
      </c>
      <c r="P37" s="180">
        <f t="shared" si="12"/>
        <v>-39475.32175407176</v>
      </c>
      <c r="Q37" s="180">
        <f t="shared" si="12"/>
        <v>0</v>
      </c>
      <c r="R37" s="171">
        <f t="shared" si="12"/>
        <v>0</v>
      </c>
      <c r="S37" s="171">
        <f t="shared" si="12"/>
        <v>1255.5519823534576</v>
      </c>
      <c r="T37" s="171">
        <f t="shared" si="12"/>
        <v>-363.36971890234241</v>
      </c>
    </row>
    <row r="38" spans="2:20">
      <c r="B38" s="1"/>
      <c r="C38" s="2"/>
      <c r="D38" s="44"/>
      <c r="E38" s="163"/>
      <c r="G38" s="305">
        <f>G37+H37</f>
        <v>-1622.7649516850036</v>
      </c>
      <c r="H38" s="306"/>
    </row>
    <row r="39" spans="2:20" ht="16.2" thickBot="1">
      <c r="B39" s="63" t="s">
        <v>43</v>
      </c>
      <c r="C39" s="75">
        <f>'Inputs&amp;Results'!C6</f>
        <v>18</v>
      </c>
      <c r="D39" s="65" t="s">
        <v>33</v>
      </c>
      <c r="E39" s="45"/>
    </row>
    <row r="40" spans="2:20">
      <c r="B40" s="1"/>
      <c r="C40" s="2"/>
      <c r="D40" s="44"/>
      <c r="E40" s="45"/>
    </row>
    <row r="41" spans="2:20" ht="16.2" thickBot="1">
      <c r="B41" s="296" t="s">
        <v>25</v>
      </c>
      <c r="C41" s="297"/>
      <c r="D41" s="298"/>
    </row>
    <row r="42" spans="2:20" ht="4.95" customHeight="1"/>
    <row r="43" spans="2:20">
      <c r="B43" s="4" t="s">
        <v>26</v>
      </c>
      <c r="C43" s="76">
        <f>+D7</f>
        <v>1500</v>
      </c>
      <c r="D43" s="64" t="s">
        <v>1</v>
      </c>
    </row>
    <row r="44" spans="2:20" ht="16.2" thickBot="1">
      <c r="B44" s="5" t="s">
        <v>27</v>
      </c>
      <c r="C44" s="77">
        <f>+F7</f>
        <v>-32</v>
      </c>
      <c r="D44" s="78" t="s">
        <v>5</v>
      </c>
    </row>
    <row r="46" spans="2:20" ht="16.2" thickBot="1">
      <c r="B46" s="296" t="s">
        <v>234</v>
      </c>
      <c r="C46" s="297"/>
      <c r="D46" s="298"/>
    </row>
    <row r="47" spans="2:20" ht="4.95" customHeight="1"/>
    <row r="48" spans="2:20">
      <c r="B48" s="4" t="s">
        <v>26</v>
      </c>
      <c r="C48" s="79">
        <f>$N$37</f>
        <v>14788.598143150261</v>
      </c>
      <c r="D48" s="80" t="s">
        <v>1</v>
      </c>
      <c r="F48" s="47"/>
    </row>
    <row r="49" spans="2:12" ht="16.2" thickBot="1">
      <c r="B49" s="5" t="s">
        <v>233</v>
      </c>
      <c r="C49" s="77">
        <f>$T$37</f>
        <v>-363.36971890234241</v>
      </c>
      <c r="D49" s="78" t="s">
        <v>5</v>
      </c>
      <c r="E49" s="1"/>
      <c r="G49" s="47"/>
    </row>
    <row r="50" spans="2:12" ht="16.2" thickBot="1">
      <c r="B50" s="5" t="s">
        <v>125</v>
      </c>
      <c r="C50" s="77">
        <f>R37</f>
        <v>0</v>
      </c>
      <c r="D50" s="78"/>
      <c r="E50" s="1"/>
      <c r="G50" s="47"/>
    </row>
    <row r="51" spans="2:12">
      <c r="C51" s="47"/>
      <c r="D51" s="47"/>
      <c r="E51" s="1"/>
      <c r="G51" s="47"/>
    </row>
    <row r="52" spans="2:12" ht="16.2" thickBot="1">
      <c r="B52" s="296" t="s">
        <v>83</v>
      </c>
      <c r="C52" s="297"/>
      <c r="D52" s="298"/>
      <c r="E52" s="1"/>
      <c r="G52" s="47"/>
    </row>
    <row r="53" spans="2:12">
      <c r="C53" s="47"/>
      <c r="D53" s="47"/>
      <c r="E53" s="1"/>
      <c r="G53" s="47"/>
    </row>
    <row r="54" spans="2:12">
      <c r="B54" s="4" t="s">
        <v>130</v>
      </c>
      <c r="C54" s="81">
        <f>+'Inputs&amp;Results'!C8</f>
        <v>7.0000000000000007E-2</v>
      </c>
      <c r="D54" s="64" t="s">
        <v>3</v>
      </c>
      <c r="G54" s="47"/>
    </row>
    <row r="55" spans="2:12" ht="18">
      <c r="B55" s="115" t="s">
        <v>131</v>
      </c>
      <c r="C55" s="116">
        <f>+WACC!C13</f>
        <v>6.1600000000000002E-2</v>
      </c>
      <c r="D55" s="112" t="s">
        <v>3</v>
      </c>
      <c r="G55" s="47"/>
    </row>
    <row r="56" spans="2:12" ht="18.600000000000001" thickBot="1">
      <c r="B56" s="113" t="s">
        <v>132</v>
      </c>
      <c r="C56" s="114">
        <f>+WACC!C20</f>
        <v>-9.1547479873631543E-3</v>
      </c>
      <c r="D56" s="82" t="s">
        <v>3</v>
      </c>
      <c r="G56" s="47"/>
    </row>
    <row r="57" spans="2:12">
      <c r="C57" s="47"/>
      <c r="G57" s="47"/>
    </row>
    <row r="58" spans="2:12" ht="16.2" thickBot="1">
      <c r="B58" s="5" t="s">
        <v>76</v>
      </c>
      <c r="C58" s="83" t="str">
        <f>+'Inputs&amp;Results'!C51</f>
        <v>No</v>
      </c>
      <c r="D58" s="9"/>
      <c r="G58" s="47"/>
    </row>
    <row r="59" spans="2:12">
      <c r="C59" s="47"/>
      <c r="D59" s="47"/>
      <c r="G59" s="47"/>
    </row>
    <row r="60" spans="2:12" ht="16.2" thickBot="1">
      <c r="B60" s="5" t="s">
        <v>12</v>
      </c>
      <c r="C60" s="103">
        <f>-(C6+C49+C50)/C48</f>
        <v>0.13276239572523174</v>
      </c>
      <c r="D60" s="9" t="s">
        <v>30</v>
      </c>
      <c r="G60" s="47"/>
    </row>
    <row r="61" spans="2:12">
      <c r="C61" s="47"/>
      <c r="D61" s="47"/>
      <c r="E61" s="1"/>
      <c r="G61" s="47"/>
    </row>
    <row r="62" spans="2:12">
      <c r="B62" s="309" t="s">
        <v>112</v>
      </c>
      <c r="C62" s="309"/>
      <c r="D62" s="309"/>
      <c r="E62" s="309"/>
      <c r="F62" s="309"/>
      <c r="G62" s="309"/>
      <c r="H62" s="309"/>
      <c r="I62" s="309"/>
      <c r="J62" s="309"/>
      <c r="K62" s="309"/>
      <c r="L62" s="309"/>
    </row>
    <row r="63" spans="2:12">
      <c r="C63" s="47"/>
      <c r="D63" s="47"/>
      <c r="E63" s="1"/>
      <c r="G63" s="47"/>
    </row>
    <row r="64" spans="2:12" ht="4.95" customHeight="1">
      <c r="B64" s="41"/>
      <c r="C64" s="41"/>
      <c r="D64" s="41"/>
      <c r="E64" s="41"/>
    </row>
    <row r="65" spans="2:35">
      <c r="B65" s="86"/>
      <c r="C65" s="86"/>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row>
    <row r="66" spans="2:35">
      <c r="B66" s="90" t="s">
        <v>23</v>
      </c>
      <c r="C66" s="87">
        <f>IF(L6=0,NPV(C54,O7:O36)+O6,NPV(C55,O7:O36)+O6)</f>
        <v>-1963.3697189023419</v>
      </c>
      <c r="D66" s="89" t="s">
        <v>5</v>
      </c>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row>
    <row r="67" spans="2:35" ht="16.2" thickBot="1">
      <c r="B67" s="91" t="s">
        <v>22</v>
      </c>
      <c r="C67" s="88">
        <f>IRR(O6:O36)</f>
        <v>-8.6942078670807943E-2</v>
      </c>
      <c r="D67" s="78" t="s">
        <v>3</v>
      </c>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row>
    <row r="68" spans="2:35">
      <c r="C68" s="47"/>
      <c r="D68" s="47"/>
      <c r="E68" s="1"/>
    </row>
    <row r="69" spans="2:35">
      <c r="B69" s="309" t="s">
        <v>35</v>
      </c>
      <c r="C69" s="309"/>
      <c r="D69" s="309"/>
      <c r="E69" s="309"/>
      <c r="F69" s="309"/>
      <c r="G69" s="309"/>
      <c r="H69" s="309"/>
      <c r="I69" s="309"/>
      <c r="J69" s="309"/>
      <c r="K69" s="309"/>
      <c r="L69" s="309"/>
    </row>
    <row r="71" spans="2:35" ht="16.2" thickBot="1">
      <c r="B71" s="91" t="s">
        <v>35</v>
      </c>
      <c r="C71" s="168">
        <f>SUM(D76:D105)</f>
        <v>0</v>
      </c>
      <c r="D71" s="78" t="s">
        <v>33</v>
      </c>
    </row>
    <row r="72" spans="2:35">
      <c r="B72" s="41"/>
      <c r="D72" s="41"/>
      <c r="E72" s="41"/>
    </row>
    <row r="73" spans="2:35">
      <c r="B73" s="307" t="s">
        <v>8</v>
      </c>
      <c r="C73" s="74" t="s">
        <v>32</v>
      </c>
      <c r="I73" s="109" t="s">
        <v>122</v>
      </c>
    </row>
    <row r="74" spans="2:35">
      <c r="B74" s="308"/>
      <c r="C74" s="10" t="s">
        <v>5</v>
      </c>
      <c r="I74" s="108"/>
      <c r="J74" s="118" t="s">
        <v>79</v>
      </c>
    </row>
    <row r="75" spans="2:35">
      <c r="B75" s="10">
        <v>0</v>
      </c>
      <c r="C75" s="17">
        <f>P6</f>
        <v>-1600</v>
      </c>
      <c r="D75" s="92"/>
      <c r="E75" s="93"/>
      <c r="I75" s="108">
        <v>1</v>
      </c>
      <c r="J75" s="118" t="s">
        <v>78</v>
      </c>
    </row>
    <row r="76" spans="2:35">
      <c r="B76" s="10">
        <f t="shared" ref="B76:B105" si="13">+B75+1</f>
        <v>1</v>
      </c>
      <c r="C76" s="17">
        <f t="shared" ref="C76:C105" si="14">P7</f>
        <v>-1736.4735645264291</v>
      </c>
      <c r="D76" s="101">
        <f>IF(AND(C75&lt;0,C76&gt;0),B75+(C76/(C76-C75)),0)</f>
        <v>0</v>
      </c>
      <c r="E76" s="93"/>
      <c r="I76" s="108">
        <v>2</v>
      </c>
    </row>
    <row r="77" spans="2:35">
      <c r="B77" s="10">
        <f t="shared" si="13"/>
        <v>2</v>
      </c>
      <c r="C77" s="17">
        <f t="shared" si="14"/>
        <v>-1873.9691790528582</v>
      </c>
      <c r="D77" s="101">
        <f t="shared" ref="D77:D105" si="15">IF(AND(C76&lt;0,C77&gt;0),B76+(-C76/(C77-C76)),0)</f>
        <v>0</v>
      </c>
      <c r="E77" s="93"/>
      <c r="I77" s="108">
        <v>3</v>
      </c>
    </row>
    <row r="78" spans="2:35">
      <c r="B78" s="10">
        <f t="shared" si="13"/>
        <v>3</v>
      </c>
      <c r="C78" s="17">
        <f t="shared" si="14"/>
        <v>-2012.4984974292872</v>
      </c>
      <c r="D78" s="101">
        <f t="shared" si="15"/>
        <v>0</v>
      </c>
      <c r="E78" s="93"/>
      <c r="I78" s="108">
        <v>4</v>
      </c>
    </row>
    <row r="79" spans="2:35">
      <c r="B79" s="10">
        <f t="shared" si="13"/>
        <v>4</v>
      </c>
      <c r="C79" s="17">
        <f t="shared" si="14"/>
        <v>-2152.0734329441661</v>
      </c>
      <c r="D79" s="101">
        <f t="shared" si="15"/>
        <v>0</v>
      </c>
      <c r="E79" s="93"/>
      <c r="I79" s="108">
        <v>5</v>
      </c>
    </row>
    <row r="80" spans="2:35">
      <c r="B80" s="10">
        <f t="shared" si="13"/>
        <v>5</v>
      </c>
      <c r="C80" s="17">
        <f t="shared" si="14"/>
        <v>-2292.7061634340798</v>
      </c>
      <c r="D80" s="101">
        <f t="shared" si="15"/>
        <v>0</v>
      </c>
      <c r="E80" s="93"/>
      <c r="I80" s="108">
        <v>6</v>
      </c>
    </row>
    <row r="81" spans="2:9">
      <c r="B81" s="10">
        <f t="shared" si="13"/>
        <v>6</v>
      </c>
      <c r="C81" s="17">
        <f t="shared" si="14"/>
        <v>-2434.4091364958631</v>
      </c>
      <c r="D81" s="101">
        <f t="shared" si="15"/>
        <v>0</v>
      </c>
      <c r="E81" s="93"/>
      <c r="I81" s="108">
        <v>7</v>
      </c>
    </row>
    <row r="82" spans="2:9">
      <c r="B82" s="10">
        <f t="shared" si="13"/>
        <v>7</v>
      </c>
      <c r="C82" s="17">
        <f t="shared" si="14"/>
        <v>-2577.1950748031954</v>
      </c>
      <c r="D82" s="101">
        <f t="shared" si="15"/>
        <v>0</v>
      </c>
      <c r="E82" s="93"/>
      <c r="I82" s="108">
        <v>8</v>
      </c>
    </row>
    <row r="83" spans="2:9">
      <c r="B83" s="10">
        <f t="shared" si="13"/>
        <v>8</v>
      </c>
      <c r="C83" s="17">
        <f t="shared" si="14"/>
        <v>-2489.2534170033346</v>
      </c>
      <c r="D83" s="101">
        <f t="shared" si="15"/>
        <v>0</v>
      </c>
      <c r="E83" s="93"/>
      <c r="I83" s="108">
        <v>9</v>
      </c>
    </row>
    <row r="84" spans="2:9">
      <c r="B84" s="10">
        <f t="shared" si="13"/>
        <v>9</v>
      </c>
      <c r="C84" s="17">
        <f t="shared" si="14"/>
        <v>-2402.421016828263</v>
      </c>
      <c r="D84" s="101">
        <f t="shared" si="15"/>
        <v>0</v>
      </c>
      <c r="E84" s="93"/>
      <c r="F84" s="47"/>
      <c r="I84" s="108">
        <v>10</v>
      </c>
    </row>
    <row r="85" spans="2:9">
      <c r="B85" s="10">
        <f t="shared" si="13"/>
        <v>10</v>
      </c>
      <c r="C85" s="17">
        <f t="shared" si="14"/>
        <v>-2316.7114551581344</v>
      </c>
      <c r="D85" s="101">
        <f t="shared" si="15"/>
        <v>0</v>
      </c>
      <c r="E85" s="93"/>
      <c r="I85" s="108">
        <v>11</v>
      </c>
    </row>
    <row r="86" spans="2:9">
      <c r="B86" s="10">
        <f t="shared" si="13"/>
        <v>11</v>
      </c>
      <c r="C86" s="17">
        <f t="shared" si="14"/>
        <v>-2232.138610303522</v>
      </c>
      <c r="D86" s="101">
        <f t="shared" si="15"/>
        <v>0</v>
      </c>
      <c r="E86" s="93"/>
      <c r="I86" s="108">
        <v>12</v>
      </c>
    </row>
    <row r="87" spans="2:9">
      <c r="B87" s="10">
        <f t="shared" si="13"/>
        <v>12</v>
      </c>
      <c r="C87" s="17">
        <f t="shared" si="14"/>
        <v>-2148.7166638765898</v>
      </c>
      <c r="D87" s="101">
        <f t="shared" si="15"/>
        <v>0</v>
      </c>
      <c r="E87" s="93"/>
    </row>
    <row r="88" spans="2:9">
      <c r="B88" s="10">
        <f t="shared" si="13"/>
        <v>13</v>
      </c>
      <c r="C88" s="17">
        <f t="shared" si="14"/>
        <v>-2066.4601067799167</v>
      </c>
      <c r="D88" s="101">
        <f t="shared" si="15"/>
        <v>0</v>
      </c>
      <c r="E88" s="93"/>
    </row>
    <row r="89" spans="2:9">
      <c r="B89" s="10">
        <f t="shared" si="13"/>
        <v>14</v>
      </c>
      <c r="C89" s="17">
        <f t="shared" si="14"/>
        <v>-1985.3837453153317</v>
      </c>
      <c r="D89" s="101">
        <f t="shared" si="15"/>
        <v>0</v>
      </c>
      <c r="E89" s="93"/>
    </row>
    <row r="90" spans="2:9">
      <c r="B90" s="10">
        <f t="shared" si="13"/>
        <v>15</v>
      </c>
      <c r="C90" s="17">
        <f t="shared" si="14"/>
        <v>-1905.5027074151544</v>
      </c>
      <c r="D90" s="101">
        <f t="shared" si="15"/>
        <v>0</v>
      </c>
      <c r="E90" s="93"/>
    </row>
    <row r="91" spans="2:9">
      <c r="B91" s="10">
        <f t="shared" si="13"/>
        <v>16</v>
      </c>
      <c r="C91" s="17">
        <f t="shared" si="14"/>
        <v>-1826.832448998292</v>
      </c>
      <c r="D91" s="101">
        <f t="shared" si="15"/>
        <v>0</v>
      </c>
      <c r="E91" s="93"/>
    </row>
    <row r="92" spans="2:9">
      <c r="B92" s="10">
        <f t="shared" si="13"/>
        <v>17</v>
      </c>
      <c r="C92" s="17">
        <f t="shared" si="14"/>
        <v>-1749.3887604536867</v>
      </c>
      <c r="D92" s="101">
        <f t="shared" si="15"/>
        <v>0</v>
      </c>
      <c r="E92" s="93"/>
    </row>
    <row r="93" spans="2:9">
      <c r="B93" s="10">
        <f t="shared" si="13"/>
        <v>18</v>
      </c>
      <c r="C93" s="17">
        <f t="shared" si="14"/>
        <v>-1673.1877732536618</v>
      </c>
      <c r="D93" s="101">
        <f t="shared" si="15"/>
        <v>0</v>
      </c>
      <c r="E93" s="93"/>
    </row>
    <row r="94" spans="2:9">
      <c r="B94" s="10">
        <f t="shared" si="13"/>
        <v>19</v>
      </c>
      <c r="C94" s="17">
        <f t="shared" si="14"/>
        <v>0</v>
      </c>
      <c r="D94" s="101">
        <f t="shared" si="15"/>
        <v>0</v>
      </c>
      <c r="E94" s="93"/>
    </row>
    <row r="95" spans="2:9">
      <c r="B95" s="10">
        <f t="shared" si="13"/>
        <v>20</v>
      </c>
      <c r="C95" s="17">
        <f t="shared" si="14"/>
        <v>0</v>
      </c>
      <c r="D95" s="101">
        <f t="shared" si="15"/>
        <v>0</v>
      </c>
      <c r="E95" s="93"/>
    </row>
    <row r="96" spans="2:9">
      <c r="B96" s="10">
        <f t="shared" si="13"/>
        <v>21</v>
      </c>
      <c r="C96" s="17">
        <f t="shared" si="14"/>
        <v>0</v>
      </c>
      <c r="D96" s="101">
        <f t="shared" si="15"/>
        <v>0</v>
      </c>
      <c r="E96" s="93"/>
    </row>
    <row r="97" spans="2:5">
      <c r="B97" s="10">
        <f t="shared" si="13"/>
        <v>22</v>
      </c>
      <c r="C97" s="17">
        <f t="shared" si="14"/>
        <v>0</v>
      </c>
      <c r="D97" s="101">
        <f t="shared" si="15"/>
        <v>0</v>
      </c>
      <c r="E97" s="93"/>
    </row>
    <row r="98" spans="2:5">
      <c r="B98" s="10">
        <f t="shared" si="13"/>
        <v>23</v>
      </c>
      <c r="C98" s="17">
        <f t="shared" si="14"/>
        <v>0</v>
      </c>
      <c r="D98" s="101">
        <f t="shared" si="15"/>
        <v>0</v>
      </c>
      <c r="E98" s="93"/>
    </row>
    <row r="99" spans="2:5">
      <c r="B99" s="10">
        <f t="shared" si="13"/>
        <v>24</v>
      </c>
      <c r="C99" s="17">
        <f t="shared" si="14"/>
        <v>0</v>
      </c>
      <c r="D99" s="101">
        <f t="shared" si="15"/>
        <v>0</v>
      </c>
      <c r="E99" s="93"/>
    </row>
    <row r="100" spans="2:5">
      <c r="B100" s="10">
        <f t="shared" si="13"/>
        <v>25</v>
      </c>
      <c r="C100" s="17">
        <f t="shared" si="14"/>
        <v>0</v>
      </c>
      <c r="D100" s="101">
        <f t="shared" si="15"/>
        <v>0</v>
      </c>
      <c r="E100" s="93"/>
    </row>
    <row r="101" spans="2:5">
      <c r="B101" s="10">
        <f t="shared" si="13"/>
        <v>26</v>
      </c>
      <c r="C101" s="17">
        <f t="shared" si="14"/>
        <v>0</v>
      </c>
      <c r="D101" s="101">
        <f t="shared" si="15"/>
        <v>0</v>
      </c>
      <c r="E101" s="93"/>
    </row>
    <row r="102" spans="2:5">
      <c r="B102" s="10">
        <f t="shared" si="13"/>
        <v>27</v>
      </c>
      <c r="C102" s="17">
        <f t="shared" si="14"/>
        <v>0</v>
      </c>
      <c r="D102" s="101">
        <f t="shared" si="15"/>
        <v>0</v>
      </c>
      <c r="E102" s="93"/>
    </row>
    <row r="103" spans="2:5">
      <c r="B103" s="10">
        <f t="shared" si="13"/>
        <v>28</v>
      </c>
      <c r="C103" s="17">
        <f t="shared" si="14"/>
        <v>0</v>
      </c>
      <c r="D103" s="101">
        <f t="shared" si="15"/>
        <v>0</v>
      </c>
      <c r="E103" s="93"/>
    </row>
    <row r="104" spans="2:5">
      <c r="B104" s="10">
        <f t="shared" si="13"/>
        <v>29</v>
      </c>
      <c r="C104" s="17">
        <f t="shared" si="14"/>
        <v>0</v>
      </c>
      <c r="D104" s="101">
        <f t="shared" si="15"/>
        <v>0</v>
      </c>
      <c r="E104" s="93"/>
    </row>
    <row r="105" spans="2:5">
      <c r="B105" s="10">
        <f t="shared" si="13"/>
        <v>30</v>
      </c>
      <c r="C105" s="17">
        <f t="shared" si="14"/>
        <v>0</v>
      </c>
      <c r="D105" s="101">
        <f t="shared" si="15"/>
        <v>0</v>
      </c>
      <c r="E105" s="93"/>
    </row>
  </sheetData>
  <sheetProtection algorithmName="SHA-512" hashValue="OcqX0ICH8mn+X0V9xZRqJg9ndFSwzdfyUNlCnYgYnkqKD2En2Qgcu51VqKeBIR45+tm6e6i1IC0EASqSEdTsVg==" saltValue="IaI5Mc+hHRaJ6DlMuG6lug==" spinCount="100000" sheet="1" objects="1" scenarios="1"/>
  <mergeCells count="8">
    <mergeCell ref="B4:B5"/>
    <mergeCell ref="G38:H38"/>
    <mergeCell ref="B73:B74"/>
    <mergeCell ref="B69:L69"/>
    <mergeCell ref="B41:D41"/>
    <mergeCell ref="B46:D46"/>
    <mergeCell ref="B52:D52"/>
    <mergeCell ref="B62:L62"/>
  </mergeCells>
  <conditionalFormatting sqref="C75:C105">
    <cfRule type="cellIs" dxfId="4" priority="5" operator="lessThan">
      <formula>0</formula>
    </cfRule>
  </conditionalFormatting>
  <conditionalFormatting sqref="D71">
    <cfRule type="cellIs" dxfId="3" priority="1" operator="lessThan">
      <formula>0</formula>
    </cfRule>
  </conditionalFormatting>
  <conditionalFormatting sqref="D65:AI67 C66">
    <cfRule type="cellIs" dxfId="2" priority="2" operator="lessThan">
      <formula>0</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F4DEC-6FE3-4584-BBF6-8BA792501FAD}">
  <sheetPr codeName="Tabelle6"/>
  <dimension ref="A1:AG132"/>
  <sheetViews>
    <sheetView workbookViewId="0">
      <selection activeCell="AE39" sqref="AE39"/>
    </sheetView>
  </sheetViews>
  <sheetFormatPr baseColWidth="10" defaultColWidth="8" defaultRowHeight="14.4"/>
  <cols>
    <col min="1" max="1" width="18.3984375" style="129" bestFit="1" customWidth="1"/>
    <col min="2" max="6" width="10.59765625" style="129" customWidth="1"/>
    <col min="7" max="16" width="8.59765625" style="129" customWidth="1"/>
    <col min="17" max="17" width="7.5" style="129" customWidth="1"/>
    <col min="18" max="30" width="8" style="129"/>
    <col min="31" max="31" width="34" style="129" bestFit="1" customWidth="1"/>
    <col min="32" max="32" width="21" style="129" customWidth="1"/>
    <col min="33" max="33" width="10.796875" style="129" bestFit="1" customWidth="1"/>
    <col min="34" max="16384" width="8" style="129"/>
  </cols>
  <sheetData>
    <row r="1" spans="1:33" ht="100.8">
      <c r="A1" s="130" t="s">
        <v>193</v>
      </c>
      <c r="B1" s="156" t="s">
        <v>195</v>
      </c>
      <c r="C1" s="156" t="s">
        <v>244</v>
      </c>
      <c r="D1" s="156" t="s">
        <v>245</v>
      </c>
      <c r="E1" s="156" t="s">
        <v>246</v>
      </c>
      <c r="F1" s="156" t="s">
        <v>255</v>
      </c>
      <c r="G1" s="157" t="s">
        <v>249</v>
      </c>
      <c r="H1" s="157" t="s">
        <v>250</v>
      </c>
      <c r="I1" s="157" t="s">
        <v>251</v>
      </c>
      <c r="J1" s="157" t="s">
        <v>252</v>
      </c>
      <c r="K1" s="157" t="s">
        <v>256</v>
      </c>
      <c r="L1" s="157" t="s">
        <v>257</v>
      </c>
      <c r="M1" s="157" t="s">
        <v>258</v>
      </c>
      <c r="N1" s="157" t="s">
        <v>259</v>
      </c>
      <c r="O1" s="157" t="s">
        <v>260</v>
      </c>
      <c r="P1" s="157" t="s">
        <v>261</v>
      </c>
    </row>
    <row r="2" spans="1:33" ht="15.6">
      <c r="A2" s="154">
        <v>-0.5</v>
      </c>
      <c r="B2" s="184">
        <f>$B$7*(1+A2)</f>
        <v>600</v>
      </c>
      <c r="C2" s="184">
        <f>$C$7*(1+A2)</f>
        <v>0.05</v>
      </c>
      <c r="D2" s="185">
        <f t="shared" ref="D2:D5" si="0">$D$7*(1+A2)</f>
        <v>3.5000000000000003E-2</v>
      </c>
      <c r="E2" s="148">
        <f t="shared" ref="E2:E5" si="1">$E$7*(1+A2)</f>
        <v>650</v>
      </c>
      <c r="F2" s="148">
        <f t="shared" ref="F2:F5" si="2">$F$7*(1+A2)</f>
        <v>9</v>
      </c>
      <c r="G2" s="187">
        <v>-5.8191556958132017E-3</v>
      </c>
      <c r="H2" s="187">
        <v>0.13836168860837356</v>
      </c>
      <c r="I2" s="187">
        <v>5.0123033577882607E-2</v>
      </c>
      <c r="J2" s="187">
        <v>0.27672337721674711</v>
      </c>
      <c r="K2" s="187">
        <v>0.17505469301941493</v>
      </c>
      <c r="L2" s="147">
        <f t="shared" ref="L2:L5" si="3">G2-$G$7</f>
        <v>-9.4180844304186773E-2</v>
      </c>
      <c r="M2" s="147">
        <f t="shared" ref="M2:M5" si="4">H2-$H$7</f>
        <v>4.9999999999999989E-2</v>
      </c>
      <c r="N2" s="147">
        <f t="shared" ref="N2:N5" si="5">I2-$I$7</f>
        <v>-3.823865503049096E-2</v>
      </c>
      <c r="O2" s="147">
        <f t="shared" ref="O2:O5" si="6">J2-$J$7</f>
        <v>0.18836168860837355</v>
      </c>
      <c r="P2" s="147">
        <f>K2-$K$7</f>
        <v>8.6693004411041358E-2</v>
      </c>
      <c r="AE2" s="310" t="s">
        <v>59</v>
      </c>
      <c r="AF2" s="310"/>
      <c r="AG2" s="310"/>
    </row>
    <row r="3" spans="1:33" ht="15.6">
      <c r="A3" s="154">
        <v>-0.4</v>
      </c>
      <c r="B3" s="184">
        <f>$B$7*(1+A3)</f>
        <v>720</v>
      </c>
      <c r="C3" s="184">
        <f t="shared" ref="C3:C6" si="7">$C$7*(1+A3)</f>
        <v>0.06</v>
      </c>
      <c r="D3" s="185">
        <f t="shared" si="0"/>
        <v>4.2000000000000003E-2</v>
      </c>
      <c r="E3" s="148">
        <f t="shared" si="1"/>
        <v>780</v>
      </c>
      <c r="F3" s="148">
        <f t="shared" si="2"/>
        <v>10.799999999999999</v>
      </c>
      <c r="G3" s="150">
        <v>1.3017013165024153E-2</v>
      </c>
      <c r="H3" s="150">
        <v>0.12836168860837358</v>
      </c>
      <c r="I3" s="150">
        <v>5.736591904041604E-2</v>
      </c>
      <c r="J3" s="150">
        <v>0.21393614768062261</v>
      </c>
      <c r="K3" s="150">
        <v>0.15706351114062089</v>
      </c>
      <c r="L3" s="147">
        <f t="shared" si="3"/>
        <v>-7.5344675443349413E-2</v>
      </c>
      <c r="M3" s="147">
        <f t="shared" si="4"/>
        <v>4.0000000000000008E-2</v>
      </c>
      <c r="N3" s="147">
        <f t="shared" si="5"/>
        <v>-3.0995769567957528E-2</v>
      </c>
      <c r="O3" s="147">
        <f t="shared" si="6"/>
        <v>0.12557445907224904</v>
      </c>
      <c r="P3" s="147">
        <f t="shared" ref="P3:P6" si="8">K3-$K$7</f>
        <v>6.8701822532247325E-2</v>
      </c>
      <c r="AE3"/>
      <c r="AF3"/>
      <c r="AG3"/>
    </row>
    <row r="4" spans="1:33" ht="16.2" thickBot="1">
      <c r="A4" s="154">
        <v>-0.3</v>
      </c>
      <c r="B4" s="184">
        <f>$B$7*(1+A4)</f>
        <v>840</v>
      </c>
      <c r="C4" s="184">
        <f t="shared" si="7"/>
        <v>6.9999999999999993E-2</v>
      </c>
      <c r="D4" s="185">
        <f t="shared" si="0"/>
        <v>4.9000000000000002E-2</v>
      </c>
      <c r="E4" s="148">
        <f t="shared" si="1"/>
        <v>909.99999999999989</v>
      </c>
      <c r="F4" s="148">
        <f t="shared" si="2"/>
        <v>12.6</v>
      </c>
      <c r="G4" s="150">
        <v>3.1853182025861501E-2</v>
      </c>
      <c r="H4" s="150">
        <v>0.11836168860837359</v>
      </c>
      <c r="I4" s="150">
        <v>6.4817198493555009E-2</v>
      </c>
      <c r="J4" s="150">
        <v>0.16908812658339087</v>
      </c>
      <c r="K4" s="150">
        <v>0.13049711524026278</v>
      </c>
      <c r="L4" s="147">
        <f t="shared" si="3"/>
        <v>-5.6508506582512066E-2</v>
      </c>
      <c r="M4" s="147">
        <f t="shared" si="4"/>
        <v>3.0000000000000027E-2</v>
      </c>
      <c r="N4" s="147">
        <f t="shared" si="5"/>
        <v>-2.3544490114818559E-2</v>
      </c>
      <c r="O4" s="147">
        <f t="shared" si="6"/>
        <v>8.0726437975017301E-2</v>
      </c>
      <c r="P4" s="147">
        <f t="shared" si="8"/>
        <v>4.2135426631889211E-2</v>
      </c>
      <c r="R4" s="146" t="s">
        <v>184</v>
      </c>
      <c r="AE4" s="296" t="s">
        <v>60</v>
      </c>
      <c r="AF4" s="297"/>
      <c r="AG4" s="298"/>
    </row>
    <row r="5" spans="1:33" ht="15.6">
      <c r="A5" s="154">
        <v>-0.2</v>
      </c>
      <c r="B5" s="184">
        <f>$B$7*(1+A5)</f>
        <v>960</v>
      </c>
      <c r="C5" s="184">
        <f t="shared" si="7"/>
        <v>8.0000000000000016E-2</v>
      </c>
      <c r="D5" s="185">
        <f t="shared" si="0"/>
        <v>5.6000000000000008E-2</v>
      </c>
      <c r="E5" s="148">
        <f t="shared" si="1"/>
        <v>1040</v>
      </c>
      <c r="F5" s="148">
        <f t="shared" si="2"/>
        <v>14.4</v>
      </c>
      <c r="G5" s="150">
        <v>5.0689350886698861E-2</v>
      </c>
      <c r="H5" s="150">
        <v>0.10836168860837356</v>
      </c>
      <c r="I5" s="150">
        <v>7.2471043577943303E-2</v>
      </c>
      <c r="J5" s="150">
        <v>0.13545211076046698</v>
      </c>
      <c r="K5" s="150">
        <v>0.11199021379290361</v>
      </c>
      <c r="L5" s="147">
        <f t="shared" si="3"/>
        <v>-3.7672337721674706E-2</v>
      </c>
      <c r="M5" s="147">
        <f t="shared" si="4"/>
        <v>1.999999999999999E-2</v>
      </c>
      <c r="N5" s="147">
        <f t="shared" si="5"/>
        <v>-1.5890645030430264E-2</v>
      </c>
      <c r="O5" s="147">
        <f t="shared" si="6"/>
        <v>4.7090422152093414E-2</v>
      </c>
      <c r="P5" s="147">
        <f t="shared" si="8"/>
        <v>2.3628525184530041E-2</v>
      </c>
      <c r="AE5"/>
      <c r="AF5"/>
      <c r="AG5"/>
    </row>
    <row r="6" spans="1:33" ht="15.6">
      <c r="A6" s="154">
        <v>-0.1</v>
      </c>
      <c r="B6" s="184">
        <f>$B$7*(1+A6)</f>
        <v>1080</v>
      </c>
      <c r="C6" s="184">
        <f t="shared" si="7"/>
        <v>9.0000000000000011E-2</v>
      </c>
      <c r="D6" s="185">
        <f>$D$7*(1+A6)</f>
        <v>6.3000000000000014E-2</v>
      </c>
      <c r="E6" s="148">
        <f>$E$7*(1+A6)</f>
        <v>1170</v>
      </c>
      <c r="F6" s="148">
        <f>$F$7*(1+A6)</f>
        <v>16.2</v>
      </c>
      <c r="G6" s="150">
        <v>6.9525519747536221E-2</v>
      </c>
      <c r="H6" s="150">
        <v>9.8361688608373576E-2</v>
      </c>
      <c r="I6" s="150">
        <v>8.0321329082584797E-2</v>
      </c>
      <c r="J6" s="150">
        <v>0.10929076512041511</v>
      </c>
      <c r="K6" s="150">
        <v>9.8507495745043888E-2</v>
      </c>
      <c r="L6" s="147">
        <f>G6-$G$7</f>
        <v>-1.8836168860837346E-2</v>
      </c>
      <c r="M6" s="147">
        <f>H6-$H$7</f>
        <v>1.0000000000000009E-2</v>
      </c>
      <c r="N6" s="147">
        <f>I6-$I$7</f>
        <v>-8.0403595257887706E-3</v>
      </c>
      <c r="O6" s="147">
        <f>J6-$J$7</f>
        <v>2.0929076512041539E-2</v>
      </c>
      <c r="P6" s="147">
        <f t="shared" si="8"/>
        <v>1.0145807136670321E-2</v>
      </c>
      <c r="AE6" s="62" t="s">
        <v>43</v>
      </c>
      <c r="AF6" s="138">
        <v>18</v>
      </c>
      <c r="AG6" s="64" t="s">
        <v>33</v>
      </c>
    </row>
    <row r="7" spans="1:33" ht="15.6">
      <c r="A7" s="154">
        <v>0</v>
      </c>
      <c r="B7" s="186">
        <f>B15</f>
        <v>1200</v>
      </c>
      <c r="C7" s="184">
        <f>C15</f>
        <v>0.1</v>
      </c>
      <c r="D7" s="185">
        <f>D15</f>
        <v>7.0000000000000007E-2</v>
      </c>
      <c r="E7" s="148">
        <f>E15</f>
        <v>1300</v>
      </c>
      <c r="F7" s="148">
        <f>F15</f>
        <v>18</v>
      </c>
      <c r="G7" s="150">
        <v>8.8361688608373568E-2</v>
      </c>
      <c r="H7" s="150">
        <v>8.8361688608373568E-2</v>
      </c>
      <c r="I7" s="150">
        <v>8.8361688608373568E-2</v>
      </c>
      <c r="J7" s="150">
        <v>8.8361688608373568E-2</v>
      </c>
      <c r="K7" s="150">
        <v>8.8361688608373568E-2</v>
      </c>
      <c r="L7" s="147">
        <v>0</v>
      </c>
      <c r="M7" s="147">
        <v>0</v>
      </c>
      <c r="N7" s="147">
        <v>0</v>
      </c>
      <c r="O7" s="147">
        <v>0</v>
      </c>
      <c r="P7" s="147">
        <v>0</v>
      </c>
      <c r="AE7" s="62" t="s">
        <v>53</v>
      </c>
      <c r="AF7" s="139">
        <v>7.1408474576271183E-2</v>
      </c>
      <c r="AG7" s="64" t="s">
        <v>3</v>
      </c>
    </row>
    <row r="8" spans="1:33" ht="16.2" thickBot="1">
      <c r="A8" s="154">
        <v>0.1</v>
      </c>
      <c r="B8" s="184">
        <f>$B$7*(1+A8)</f>
        <v>1320</v>
      </c>
      <c r="C8" s="184">
        <f>$C$7*(1+A8)</f>
        <v>0.11000000000000001</v>
      </c>
      <c r="D8" s="185">
        <f>$D$7*(1+A8)</f>
        <v>7.7000000000000013E-2</v>
      </c>
      <c r="E8" s="148">
        <f>$E$7*(1+A8)</f>
        <v>1430.0000000000002</v>
      </c>
      <c r="F8" s="148">
        <f>$F$7*(1+A8)</f>
        <v>19.8</v>
      </c>
      <c r="G8" s="150">
        <v>0.10719785746921094</v>
      </c>
      <c r="H8" s="150">
        <v>7.8361688608373573E-2</v>
      </c>
      <c r="I8" s="150">
        <v>9.6585568545930214E-2</v>
      </c>
      <c r="J8" s="150">
        <v>7.1237898734885063E-2</v>
      </c>
      <c r="K8" s="150">
        <v>8.4206890714615706E-2</v>
      </c>
      <c r="L8" s="147">
        <f>G8-$G$7</f>
        <v>1.8836168860837374E-2</v>
      </c>
      <c r="M8" s="147">
        <f>H8-$H$7</f>
        <v>-9.999999999999995E-3</v>
      </c>
      <c r="N8" s="147">
        <f>I8-$I$7</f>
        <v>8.2238799375566468E-3</v>
      </c>
      <c r="O8" s="147">
        <f>J8-$J$7</f>
        <v>-1.7123789873488504E-2</v>
      </c>
      <c r="P8" s="147">
        <f>K8-$K$7</f>
        <v>-4.1547978937578611E-3</v>
      </c>
      <c r="AE8" s="63" t="s">
        <v>129</v>
      </c>
      <c r="AF8" s="140">
        <v>7.0000000000000007E-2</v>
      </c>
      <c r="AG8" s="65" t="s">
        <v>3</v>
      </c>
    </row>
    <row r="9" spans="1:33" ht="15.6">
      <c r="A9" s="154">
        <v>0.2</v>
      </c>
      <c r="B9" s="184">
        <f t="shared" ref="B9:B12" si="9">$B$7*(1+A9)</f>
        <v>1440</v>
      </c>
      <c r="C9" s="184">
        <f t="shared" ref="C9:C12" si="10">$C$7*(1+A9)</f>
        <v>0.12</v>
      </c>
      <c r="D9" s="185">
        <f t="shared" ref="D9:D12" si="11">$D$7*(1+A9)</f>
        <v>8.4000000000000005E-2</v>
      </c>
      <c r="E9" s="148">
        <f t="shared" ref="E9:E12" si="12">$E$7*(1+A9)</f>
        <v>1560</v>
      </c>
      <c r="F9" s="148">
        <f t="shared" ref="F9:F12" si="13">$F$7*(1+A9)</f>
        <v>21.599999999999998</v>
      </c>
      <c r="G9" s="150">
        <v>0.12603402633004829</v>
      </c>
      <c r="H9" s="150">
        <v>6.8361688608373591E-2</v>
      </c>
      <c r="I9" s="150">
        <v>0.10498627973258357</v>
      </c>
      <c r="J9" s="150">
        <v>5.6968073840311308E-2</v>
      </c>
      <c r="K9" s="150">
        <v>7.7288854825039971E-2</v>
      </c>
      <c r="L9" s="147">
        <f t="shared" ref="L9:L12" si="14">G9-$G$7</f>
        <v>3.767233772167472E-2</v>
      </c>
      <c r="M9" s="147">
        <f t="shared" ref="M9:M12" si="15">H9-$H$7</f>
        <v>-1.9999999999999976E-2</v>
      </c>
      <c r="N9" s="147">
        <f t="shared" ref="N9:N12" si="16">I9-$I$7</f>
        <v>1.6624591124209998E-2</v>
      </c>
      <c r="O9" s="147">
        <f t="shared" ref="O9:O12" si="17">J9-$J$7</f>
        <v>-3.139361476806226E-2</v>
      </c>
      <c r="P9" s="147">
        <f t="shared" ref="P9:P12" si="18">K9-$K$7</f>
        <v>-1.1072833783333597E-2</v>
      </c>
      <c r="AE9"/>
      <c r="AF9"/>
      <c r="AG9"/>
    </row>
    <row r="10" spans="1:33" ht="16.2" thickBot="1">
      <c r="A10" s="154">
        <v>0.3</v>
      </c>
      <c r="B10" s="184">
        <f t="shared" si="9"/>
        <v>1560</v>
      </c>
      <c r="C10" s="184">
        <f t="shared" si="10"/>
        <v>0.13</v>
      </c>
      <c r="D10" s="185">
        <f t="shared" si="11"/>
        <v>9.1000000000000011E-2</v>
      </c>
      <c r="E10" s="148">
        <f t="shared" si="12"/>
        <v>1690</v>
      </c>
      <c r="F10" s="148">
        <f t="shared" si="13"/>
        <v>23.400000000000002</v>
      </c>
      <c r="G10" s="150">
        <v>0.14487019519088562</v>
      </c>
      <c r="H10" s="150">
        <v>5.8361688608373576E-2</v>
      </c>
      <c r="I10" s="150">
        <v>0.11355704626244623</v>
      </c>
      <c r="J10" s="150">
        <v>4.489360662182583E-2</v>
      </c>
      <c r="K10" s="150">
        <v>7.1813470419477346E-2</v>
      </c>
      <c r="L10" s="147">
        <f t="shared" si="14"/>
        <v>5.6508506582512052E-2</v>
      </c>
      <c r="M10" s="147">
        <f t="shared" si="15"/>
        <v>-2.9999999999999992E-2</v>
      </c>
      <c r="N10" s="147">
        <f t="shared" si="16"/>
        <v>2.5195357654072659E-2</v>
      </c>
      <c r="O10" s="147">
        <f t="shared" si="17"/>
        <v>-4.3468081986547738E-2</v>
      </c>
      <c r="P10" s="147">
        <f t="shared" si="18"/>
        <v>-1.6548218188896222E-2</v>
      </c>
      <c r="AE10" s="296" t="s">
        <v>61</v>
      </c>
      <c r="AF10" s="297"/>
      <c r="AG10" s="298"/>
    </row>
    <row r="11" spans="1:33" ht="15.6">
      <c r="A11" s="154">
        <v>0.4</v>
      </c>
      <c r="B11" s="184">
        <f t="shared" si="9"/>
        <v>1680</v>
      </c>
      <c r="C11" s="184">
        <f t="shared" si="10"/>
        <v>0.13999999999999999</v>
      </c>
      <c r="D11" s="185">
        <f t="shared" si="11"/>
        <v>9.8000000000000004E-2</v>
      </c>
      <c r="E11" s="148">
        <f t="shared" si="12"/>
        <v>1819.9999999999998</v>
      </c>
      <c r="F11" s="148">
        <f t="shared" si="13"/>
        <v>25.2</v>
      </c>
      <c r="G11" s="150">
        <v>0.16370636405172298</v>
      </c>
      <c r="H11" s="150">
        <v>4.8361688608373601E-2</v>
      </c>
      <c r="I11" s="150">
        <v>0.12229105103309365</v>
      </c>
      <c r="J11" s="150">
        <v>3.4544063291695432E-2</v>
      </c>
      <c r="K11" s="150">
        <v>6.7423831773246456E-2</v>
      </c>
      <c r="L11" s="147">
        <f t="shared" si="14"/>
        <v>7.5344675443349413E-2</v>
      </c>
      <c r="M11" s="147">
        <f t="shared" si="15"/>
        <v>-3.9999999999999966E-2</v>
      </c>
      <c r="N11" s="147">
        <f t="shared" si="16"/>
        <v>3.3929362424720083E-2</v>
      </c>
      <c r="O11" s="147">
        <f t="shared" si="17"/>
        <v>-5.3817625316678136E-2</v>
      </c>
      <c r="P11" s="147">
        <f t="shared" si="18"/>
        <v>-2.0937856835127111E-2</v>
      </c>
      <c r="AE11"/>
      <c r="AF11"/>
      <c r="AG11"/>
    </row>
    <row r="12" spans="1:33" ht="15.6">
      <c r="A12" s="154">
        <v>0.5</v>
      </c>
      <c r="B12" s="184">
        <f t="shared" si="9"/>
        <v>1800</v>
      </c>
      <c r="C12" s="184">
        <f t="shared" si="10"/>
        <v>0.15000000000000002</v>
      </c>
      <c r="D12" s="185">
        <f t="shared" si="11"/>
        <v>0.10500000000000001</v>
      </c>
      <c r="E12" s="148">
        <f t="shared" si="12"/>
        <v>1950</v>
      </c>
      <c r="F12" s="148">
        <f t="shared" si="13"/>
        <v>27</v>
      </c>
      <c r="G12" s="150">
        <v>0.18254253291256037</v>
      </c>
      <c r="H12" s="150">
        <v>3.8361688608373565E-2</v>
      </c>
      <c r="I12" s="150">
        <v>0.13118147771895511</v>
      </c>
      <c r="J12" s="150">
        <v>2.5574459072249062E-2</v>
      </c>
      <c r="K12" s="150">
        <v>6.3868576213068962E-2</v>
      </c>
      <c r="L12" s="147">
        <f t="shared" si="14"/>
        <v>9.41808443041868E-2</v>
      </c>
      <c r="M12" s="147">
        <f t="shared" si="15"/>
        <v>-0.05</v>
      </c>
      <c r="N12" s="147">
        <f t="shared" si="16"/>
        <v>4.2819789110581541E-2</v>
      </c>
      <c r="O12" s="147">
        <f t="shared" si="17"/>
        <v>-6.2787229536124506E-2</v>
      </c>
      <c r="P12" s="147">
        <f t="shared" si="18"/>
        <v>-2.4493112395304606E-2</v>
      </c>
      <c r="AE12" s="62" t="s">
        <v>16</v>
      </c>
      <c r="AF12" s="141">
        <v>1500</v>
      </c>
      <c r="AG12" s="64" t="s">
        <v>15</v>
      </c>
    </row>
    <row r="13" spans="1:33" ht="15.6">
      <c r="B13" s="155"/>
      <c r="C13" s="155"/>
      <c r="AE13" s="62" t="s">
        <v>17</v>
      </c>
      <c r="AF13" s="141">
        <v>1</v>
      </c>
      <c r="AG13" s="64" t="s">
        <v>18</v>
      </c>
    </row>
    <row r="14" spans="1:33" ht="15.6">
      <c r="AE14" s="62" t="s">
        <v>19</v>
      </c>
      <c r="AF14" s="29">
        <v>1500</v>
      </c>
      <c r="AG14" s="64" t="s">
        <v>1</v>
      </c>
    </row>
    <row r="15" spans="1:33" ht="16.2" thickBot="1">
      <c r="A15" s="158" t="s">
        <v>194</v>
      </c>
      <c r="B15" s="159">
        <v>1200</v>
      </c>
      <c r="C15" s="188">
        <v>0.1</v>
      </c>
      <c r="D15" s="160">
        <v>7.0000000000000007E-2</v>
      </c>
      <c r="E15" s="158">
        <v>1300</v>
      </c>
      <c r="F15" s="158">
        <v>18</v>
      </c>
      <c r="AE15" s="63" t="s">
        <v>2</v>
      </c>
      <c r="AF15" s="142">
        <v>3.0000000000000001E-3</v>
      </c>
      <c r="AG15" s="65" t="s">
        <v>3</v>
      </c>
    </row>
    <row r="16" spans="1:33" ht="15.6">
      <c r="AE16"/>
      <c r="AF16"/>
      <c r="AG16"/>
    </row>
    <row r="17" spans="9:33" ht="16.2" thickBot="1">
      <c r="AE17" s="296" t="s">
        <v>62</v>
      </c>
      <c r="AF17" s="297"/>
      <c r="AG17" s="298"/>
    </row>
    <row r="18" spans="9:33" ht="15.6">
      <c r="AE18"/>
      <c r="AF18"/>
      <c r="AG18"/>
    </row>
    <row r="19" spans="9:33" ht="15.6">
      <c r="AE19" s="50" t="s">
        <v>21</v>
      </c>
      <c r="AF19" s="32">
        <v>32</v>
      </c>
      <c r="AG19" s="31" t="s">
        <v>5</v>
      </c>
    </row>
    <row r="20" spans="9:33" ht="16.2" thickBot="1">
      <c r="AE20" s="5" t="s">
        <v>86</v>
      </c>
      <c r="AF20" s="140">
        <v>0.02</v>
      </c>
      <c r="AG20" s="9" t="s">
        <v>3</v>
      </c>
    </row>
    <row r="21" spans="9:33" ht="15.6">
      <c r="AE21"/>
      <c r="AF21"/>
      <c r="AG21"/>
    </row>
    <row r="22" spans="9:33" ht="16.2" thickBot="1">
      <c r="AE22" s="296" t="s">
        <v>63</v>
      </c>
      <c r="AF22" s="297"/>
      <c r="AG22" s="298"/>
    </row>
    <row r="23" spans="9:33" ht="15.6">
      <c r="AE23"/>
      <c r="AF23"/>
      <c r="AG23"/>
    </row>
    <row r="24" spans="9:33" ht="15.6">
      <c r="I24" s="132"/>
      <c r="J24" s="132"/>
      <c r="K24" s="132"/>
      <c r="L24" s="132"/>
      <c r="M24" s="132"/>
      <c r="N24" s="132"/>
      <c r="O24" s="132"/>
      <c r="P24" s="132"/>
      <c r="Q24" s="132"/>
      <c r="R24" s="132"/>
      <c r="AE24" s="299" t="s">
        <v>4</v>
      </c>
      <c r="AF24" s="32">
        <v>1600</v>
      </c>
      <c r="AG24" s="8" t="s">
        <v>20</v>
      </c>
    </row>
    <row r="25" spans="9:33" ht="15.6">
      <c r="AE25" s="300"/>
      <c r="AF25" s="32">
        <v>1600</v>
      </c>
      <c r="AG25" s="31" t="s">
        <v>5</v>
      </c>
    </row>
    <row r="26" spans="9:33" ht="15.6">
      <c r="AE26" s="4" t="s">
        <v>46</v>
      </c>
      <c r="AF26" s="139">
        <v>0.2</v>
      </c>
      <c r="AG26" s="8" t="s">
        <v>3</v>
      </c>
    </row>
    <row r="27" spans="9:33" ht="15.6">
      <c r="AE27" s="4" t="s">
        <v>47</v>
      </c>
      <c r="AF27" s="52">
        <v>0.8</v>
      </c>
      <c r="AG27" s="8" t="s">
        <v>3</v>
      </c>
    </row>
    <row r="28" spans="9:33" ht="15.6">
      <c r="AE28" s="4" t="s">
        <v>48</v>
      </c>
      <c r="AF28" s="139">
        <v>7.0000000000000007E-2</v>
      </c>
      <c r="AG28" s="8" t="s">
        <v>3</v>
      </c>
    </row>
    <row r="29" spans="9:33" ht="15.6">
      <c r="AE29" s="4" t="s">
        <v>49</v>
      </c>
      <c r="AF29" s="139">
        <v>7.0000000000000007E-2</v>
      </c>
      <c r="AG29" s="8" t="s">
        <v>3</v>
      </c>
    </row>
    <row r="30" spans="9:33" ht="15.6">
      <c r="AE30" s="4" t="s">
        <v>50</v>
      </c>
      <c r="AF30" s="139">
        <v>0.15</v>
      </c>
      <c r="AG30" s="8" t="s">
        <v>3</v>
      </c>
    </row>
    <row r="31" spans="9:33" ht="16.2" thickBot="1">
      <c r="AE31" s="5" t="s">
        <v>51</v>
      </c>
      <c r="AF31" s="54">
        <v>0.25</v>
      </c>
      <c r="AG31" s="9"/>
    </row>
    <row r="32" spans="9:33" ht="15.6">
      <c r="AE32"/>
      <c r="AF32"/>
      <c r="AG32"/>
    </row>
    <row r="33" spans="31:33" ht="16.2" thickBot="1">
      <c r="AE33" s="296" t="s">
        <v>64</v>
      </c>
      <c r="AF33" s="297"/>
      <c r="AG33" s="298"/>
    </row>
    <row r="34" spans="31:33" ht="15.6">
      <c r="AE34"/>
      <c r="AF34"/>
      <c r="AG34"/>
    </row>
    <row r="35" spans="31:33" ht="16.2" thickBot="1">
      <c r="AE35" s="5" t="s">
        <v>29</v>
      </c>
      <c r="AF35" s="144">
        <v>8.4900000000000003E-2</v>
      </c>
      <c r="AG35" s="9" t="s">
        <v>30</v>
      </c>
    </row>
    <row r="36" spans="31:33" ht="15.6">
      <c r="AE36" s="2"/>
      <c r="AF36" s="2"/>
      <c r="AG36" s="2"/>
    </row>
    <row r="37" spans="31:33" ht="16.2" thickBot="1">
      <c r="AE37" s="5" t="s">
        <v>123</v>
      </c>
      <c r="AF37" s="145">
        <v>0</v>
      </c>
      <c r="AG37" s="9" t="s">
        <v>5</v>
      </c>
    </row>
    <row r="39" spans="31:33">
      <c r="AE39" s="146"/>
    </row>
    <row r="60" spans="9:18">
      <c r="I60" s="132"/>
      <c r="J60" s="132"/>
      <c r="K60" s="132"/>
      <c r="L60" s="132"/>
      <c r="M60" s="132"/>
      <c r="N60" s="132"/>
      <c r="O60" s="132"/>
      <c r="P60" s="132"/>
      <c r="Q60" s="134"/>
      <c r="R60" s="134"/>
    </row>
    <row r="94" spans="5:18">
      <c r="E94" s="129" t="s">
        <v>172</v>
      </c>
    </row>
    <row r="95" spans="5:18">
      <c r="I95" s="129" t="s">
        <v>173</v>
      </c>
      <c r="Q95" s="129" t="s">
        <v>174</v>
      </c>
      <c r="R95" s="129" t="s">
        <v>22</v>
      </c>
    </row>
    <row r="96" spans="5:18">
      <c r="I96" s="129">
        <v>3.46</v>
      </c>
      <c r="Q96" s="129">
        <v>14.5</v>
      </c>
      <c r="R96" s="129">
        <v>9</v>
      </c>
    </row>
    <row r="97" spans="1:18">
      <c r="I97" s="129">
        <v>5.46</v>
      </c>
      <c r="Q97" s="129">
        <v>15.2</v>
      </c>
      <c r="R97" s="129">
        <v>8</v>
      </c>
    </row>
    <row r="98" spans="1:18">
      <c r="I98" s="129">
        <v>7.46</v>
      </c>
      <c r="Q98" s="129">
        <v>15.8</v>
      </c>
      <c r="R98" s="129">
        <v>8</v>
      </c>
    </row>
    <row r="99" spans="1:18">
      <c r="I99" s="129">
        <v>9.4600000000000009</v>
      </c>
      <c r="Q99" s="129">
        <v>16.5</v>
      </c>
      <c r="R99" s="129">
        <v>6</v>
      </c>
    </row>
    <row r="100" spans="1:18">
      <c r="I100" s="129">
        <v>11.46</v>
      </c>
      <c r="Q100" s="129">
        <v>17</v>
      </c>
      <c r="R100" s="129">
        <v>6</v>
      </c>
    </row>
    <row r="103" spans="1:18">
      <c r="A103" s="129" t="s">
        <v>175</v>
      </c>
    </row>
    <row r="107" spans="1:18">
      <c r="E107" s="129" t="s">
        <v>176</v>
      </c>
      <c r="I107" s="129" t="s">
        <v>177</v>
      </c>
      <c r="Q107" s="129" t="s">
        <v>174</v>
      </c>
      <c r="R107" s="129" t="s">
        <v>22</v>
      </c>
    </row>
    <row r="108" spans="1:18">
      <c r="I108" s="129">
        <v>10</v>
      </c>
      <c r="Q108" s="129">
        <v>14.8</v>
      </c>
      <c r="R108" s="129">
        <v>6.78</v>
      </c>
    </row>
    <row r="109" spans="1:18">
      <c r="I109" s="129">
        <v>12</v>
      </c>
      <c r="Q109" s="129">
        <v>15.1</v>
      </c>
      <c r="R109" s="129">
        <v>6.76</v>
      </c>
    </row>
    <row r="110" spans="1:18">
      <c r="I110" s="129">
        <v>15</v>
      </c>
    </row>
    <row r="111" spans="1:18">
      <c r="I111" s="129">
        <v>18</v>
      </c>
    </row>
    <row r="112" spans="1:18">
      <c r="I112" s="129">
        <v>20</v>
      </c>
    </row>
    <row r="126" spans="5:18">
      <c r="E126" s="129" t="s">
        <v>172</v>
      </c>
    </row>
    <row r="127" spans="5:18">
      <c r="I127" s="129" t="s">
        <v>173</v>
      </c>
      <c r="Q127" s="129" t="s">
        <v>174</v>
      </c>
      <c r="R127" s="129" t="s">
        <v>22</v>
      </c>
    </row>
    <row r="128" spans="5:18">
      <c r="I128" s="129">
        <v>10</v>
      </c>
      <c r="Q128" s="129">
        <v>14.3</v>
      </c>
      <c r="R128" s="129">
        <v>7</v>
      </c>
    </row>
    <row r="129" spans="9:18">
      <c r="I129" s="129">
        <v>12</v>
      </c>
      <c r="Q129" s="129">
        <v>14.8</v>
      </c>
      <c r="R129" s="129">
        <v>7</v>
      </c>
    </row>
    <row r="130" spans="9:18">
      <c r="I130" s="129">
        <v>15</v>
      </c>
    </row>
    <row r="131" spans="9:18">
      <c r="I131" s="129">
        <v>18</v>
      </c>
    </row>
    <row r="132" spans="9:18">
      <c r="I132" s="129">
        <v>20</v>
      </c>
    </row>
  </sheetData>
  <mergeCells count="7">
    <mergeCell ref="AE33:AG33"/>
    <mergeCell ref="AE2:AG2"/>
    <mergeCell ref="AE4:AG4"/>
    <mergeCell ref="AE10:AG10"/>
    <mergeCell ref="AE17:AG17"/>
    <mergeCell ref="AE22:AG22"/>
    <mergeCell ref="AE24:AE2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4EDB9-4EEB-4594-AE10-F4F4AB87E4F9}">
  <sheetPr codeName="Tabelle1"/>
  <dimension ref="A1:W131"/>
  <sheetViews>
    <sheetView workbookViewId="0">
      <selection activeCell="AE39" sqref="AE39"/>
    </sheetView>
  </sheetViews>
  <sheetFormatPr baseColWidth="10" defaultColWidth="8" defaultRowHeight="14.4"/>
  <cols>
    <col min="1" max="1" width="18.3984375" style="129" bestFit="1" customWidth="1"/>
    <col min="2" max="2" width="10.3984375" style="129" customWidth="1"/>
    <col min="3" max="3" width="11.09765625" style="129" customWidth="1"/>
    <col min="4" max="4" width="8" style="129"/>
    <col min="5" max="5" width="9.19921875" style="129" customWidth="1"/>
    <col min="6" max="6" width="12" style="129" customWidth="1"/>
    <col min="7" max="7" width="7.5" style="129" customWidth="1"/>
    <col min="8" max="20" width="8" style="129"/>
    <col min="21" max="21" width="34" style="129" bestFit="1" customWidth="1"/>
    <col min="22" max="22" width="21" style="129" customWidth="1"/>
    <col min="23" max="23" width="10.796875" style="129" bestFit="1" customWidth="1"/>
    <col min="24" max="16384" width="8" style="129"/>
  </cols>
  <sheetData>
    <row r="1" spans="1:23" ht="28.8">
      <c r="A1" s="130" t="s">
        <v>171</v>
      </c>
      <c r="B1" s="130" t="s">
        <v>178</v>
      </c>
      <c r="C1" s="133" t="s">
        <v>181</v>
      </c>
      <c r="D1" s="133" t="s">
        <v>22</v>
      </c>
      <c r="E1" s="149" t="s">
        <v>179</v>
      </c>
      <c r="F1" s="149" t="s">
        <v>180</v>
      </c>
    </row>
    <row r="2" spans="1:23" ht="15.6">
      <c r="A2" s="135">
        <v>600</v>
      </c>
      <c r="B2" s="150">
        <v>-3.2766016030381217E-3</v>
      </c>
      <c r="C2" s="131">
        <v>10.766285873390844</v>
      </c>
      <c r="D2" s="151">
        <v>7.8119931419859512E-2</v>
      </c>
      <c r="E2" s="152">
        <f>D2*100</f>
        <v>7.8119931419859512</v>
      </c>
      <c r="F2" s="147"/>
      <c r="U2" s="310" t="s">
        <v>59</v>
      </c>
      <c r="V2" s="310"/>
      <c r="W2" s="310"/>
    </row>
    <row r="3" spans="1:23" ht="15.6">
      <c r="A3" s="135">
        <v>800</v>
      </c>
      <c r="B3" s="150">
        <v>2.3931197862615855E-2</v>
      </c>
      <c r="C3" s="131">
        <v>15.173900587900825</v>
      </c>
      <c r="D3" s="151">
        <v>2.3024449585691276E-2</v>
      </c>
      <c r="E3" s="152">
        <f t="shared" ref="E3:E10" si="0">D3*100</f>
        <v>2.3024449585691276</v>
      </c>
      <c r="F3" s="147"/>
      <c r="H3" s="146" t="s">
        <v>184</v>
      </c>
      <c r="U3"/>
      <c r="V3"/>
      <c r="W3"/>
    </row>
    <row r="4" spans="1:23" ht="16.2" thickBot="1">
      <c r="A4" s="135">
        <v>1000</v>
      </c>
      <c r="B4" s="150">
        <v>5.113899732826982E-2</v>
      </c>
      <c r="C4" s="131"/>
      <c r="D4" s="151">
        <v>-1.4575073821972762E-2</v>
      </c>
      <c r="E4" s="152">
        <f t="shared" si="0"/>
        <v>-1.4575073821972762</v>
      </c>
      <c r="F4" s="147">
        <f t="shared" ref="F4:F10" si="1">B4*1000</f>
        <v>51.138997328269816</v>
      </c>
      <c r="U4" s="296" t="s">
        <v>60</v>
      </c>
      <c r="V4" s="297"/>
      <c r="W4" s="298"/>
    </row>
    <row r="5" spans="1:23" ht="15.6">
      <c r="A5" s="135">
        <v>1200</v>
      </c>
      <c r="B5" s="150">
        <v>7.8346796793923798E-2</v>
      </c>
      <c r="C5" s="131"/>
      <c r="D5" s="151">
        <v>-4.3281102348747713E-2</v>
      </c>
      <c r="E5" s="152">
        <f t="shared" si="0"/>
        <v>-4.3281102348747709</v>
      </c>
      <c r="F5" s="147">
        <f t="shared" si="1"/>
        <v>78.346796793923801</v>
      </c>
      <c r="U5"/>
      <c r="V5"/>
      <c r="W5"/>
    </row>
    <row r="6" spans="1:23" ht="15.6">
      <c r="A6" s="135">
        <v>1400</v>
      </c>
      <c r="B6" s="150">
        <v>0.10555459625957775</v>
      </c>
      <c r="C6" s="131"/>
      <c r="D6" s="151">
        <v>-6.677417799174501E-2</v>
      </c>
      <c r="E6" s="152">
        <f t="shared" si="0"/>
        <v>-6.677417799174501</v>
      </c>
      <c r="F6" s="147">
        <f t="shared" si="1"/>
        <v>105.55459625957775</v>
      </c>
      <c r="U6" s="62" t="s">
        <v>43</v>
      </c>
      <c r="V6" s="138">
        <v>18</v>
      </c>
      <c r="W6" s="64" t="s">
        <v>33</v>
      </c>
    </row>
    <row r="7" spans="1:23" ht="15.6">
      <c r="A7" s="135">
        <v>1600</v>
      </c>
      <c r="B7" s="150">
        <v>0.13276239572523174</v>
      </c>
      <c r="C7" s="131"/>
      <c r="D7" s="151">
        <v>-8.6942078670807943E-2</v>
      </c>
      <c r="E7" s="152">
        <f t="shared" si="0"/>
        <v>-8.6942078670807952</v>
      </c>
      <c r="F7" s="147">
        <f t="shared" si="1"/>
        <v>132.76239572523173</v>
      </c>
      <c r="U7" s="62" t="s">
        <v>53</v>
      </c>
      <c r="V7" s="139">
        <v>7.1408474576271183E-2</v>
      </c>
      <c r="W7" s="64" t="s">
        <v>3</v>
      </c>
    </row>
    <row r="8" spans="1:23" ht="16.2" thickBot="1">
      <c r="A8" s="135">
        <v>1800</v>
      </c>
      <c r="B8" s="150">
        <v>0.15997019519088573</v>
      </c>
      <c r="C8" s="131"/>
      <c r="D8" s="151">
        <v>-0.10488188209043658</v>
      </c>
      <c r="E8" s="152">
        <f t="shared" si="0"/>
        <v>-10.488188209043658</v>
      </c>
      <c r="F8" s="147">
        <f t="shared" si="1"/>
        <v>159.97019519088573</v>
      </c>
      <c r="U8" s="63" t="s">
        <v>129</v>
      </c>
      <c r="V8" s="140">
        <v>7.0000000000000007E-2</v>
      </c>
      <c r="W8" s="65" t="s">
        <v>3</v>
      </c>
    </row>
    <row r="9" spans="1:23" ht="15.6">
      <c r="A9" s="135">
        <v>2000</v>
      </c>
      <c r="B9" s="150">
        <v>0.18717799465653967</v>
      </c>
      <c r="C9" s="131"/>
      <c r="D9" s="151">
        <v>-0.12129585653113717</v>
      </c>
      <c r="E9" s="152">
        <f t="shared" si="0"/>
        <v>-12.129585653113717</v>
      </c>
      <c r="F9" s="147">
        <f t="shared" si="1"/>
        <v>187.17799465653968</v>
      </c>
      <c r="U9"/>
      <c r="V9"/>
      <c r="W9"/>
    </row>
    <row r="10" spans="1:23" ht="16.2" thickBot="1">
      <c r="A10" s="135">
        <v>2200</v>
      </c>
      <c r="B10" s="150">
        <v>0.21438579412219363</v>
      </c>
      <c r="C10" s="131"/>
      <c r="D10" s="151">
        <v>-0.13667309106541758</v>
      </c>
      <c r="E10" s="152">
        <f t="shared" si="0"/>
        <v>-13.667309106541758</v>
      </c>
      <c r="F10" s="147">
        <f t="shared" si="1"/>
        <v>214.38579412219363</v>
      </c>
      <c r="U10" s="296" t="s">
        <v>61</v>
      </c>
      <c r="V10" s="297"/>
      <c r="W10" s="298"/>
    </row>
    <row r="11" spans="1:23" ht="15.6">
      <c r="U11"/>
      <c r="V11"/>
      <c r="W11"/>
    </row>
    <row r="12" spans="1:23" ht="15.6">
      <c r="U12" s="62" t="s">
        <v>16</v>
      </c>
      <c r="V12" s="141">
        <v>1500</v>
      </c>
      <c r="W12" s="64" t="s">
        <v>15</v>
      </c>
    </row>
    <row r="13" spans="1:23" ht="15.6">
      <c r="U13" s="62" t="s">
        <v>17</v>
      </c>
      <c r="V13" s="141">
        <v>1</v>
      </c>
      <c r="W13" s="64" t="s">
        <v>18</v>
      </c>
    </row>
    <row r="14" spans="1:23" ht="15.6">
      <c r="U14" s="62" t="s">
        <v>19</v>
      </c>
      <c r="V14" s="29">
        <v>1500</v>
      </c>
      <c r="W14" s="64" t="s">
        <v>1</v>
      </c>
    </row>
    <row r="15" spans="1:23" ht="16.2" thickBot="1">
      <c r="U15" s="63" t="s">
        <v>2</v>
      </c>
      <c r="V15" s="142">
        <v>3.0000000000000001E-3</v>
      </c>
      <c r="W15" s="65" t="s">
        <v>3</v>
      </c>
    </row>
    <row r="16" spans="1:23" ht="15.6">
      <c r="U16"/>
      <c r="V16"/>
      <c r="W16"/>
    </row>
    <row r="17" spans="5:23" ht="16.2" thickBot="1">
      <c r="U17" s="296" t="s">
        <v>62</v>
      </c>
      <c r="V17" s="297"/>
      <c r="W17" s="298"/>
    </row>
    <row r="18" spans="5:23" ht="15.6">
      <c r="U18"/>
      <c r="V18"/>
      <c r="W18"/>
    </row>
    <row r="19" spans="5:23" ht="15.6">
      <c r="U19" s="50" t="s">
        <v>21</v>
      </c>
      <c r="V19" s="32">
        <v>12</v>
      </c>
      <c r="W19" s="31" t="s">
        <v>5</v>
      </c>
    </row>
    <row r="20" spans="5:23" ht="16.2" thickBot="1">
      <c r="U20" s="5" t="s">
        <v>86</v>
      </c>
      <c r="V20" s="140">
        <v>0.02</v>
      </c>
      <c r="W20" s="9" t="s">
        <v>3</v>
      </c>
    </row>
    <row r="21" spans="5:23" ht="15.6">
      <c r="U21"/>
      <c r="V21"/>
      <c r="W21"/>
    </row>
    <row r="22" spans="5:23" ht="16.2" thickBot="1">
      <c r="U22" s="296" t="s">
        <v>63</v>
      </c>
      <c r="V22" s="297"/>
      <c r="W22" s="298"/>
    </row>
    <row r="23" spans="5:23" ht="15.6">
      <c r="E23" s="132"/>
      <c r="F23" s="132"/>
      <c r="G23" s="132"/>
      <c r="H23" s="132"/>
      <c r="U23"/>
      <c r="V23"/>
      <c r="W23"/>
    </row>
    <row r="24" spans="5:23" ht="15.6">
      <c r="U24" s="299" t="s">
        <v>4</v>
      </c>
      <c r="V24" s="136" t="s">
        <v>182</v>
      </c>
      <c r="W24" s="8" t="s">
        <v>20</v>
      </c>
    </row>
    <row r="25" spans="5:23" ht="15.6">
      <c r="U25" s="300"/>
      <c r="V25" s="32"/>
      <c r="W25" s="31" t="s">
        <v>5</v>
      </c>
    </row>
    <row r="26" spans="5:23" ht="15.6">
      <c r="U26" s="4" t="s">
        <v>46</v>
      </c>
      <c r="V26" s="139">
        <v>0.2</v>
      </c>
      <c r="W26" s="8" t="s">
        <v>3</v>
      </c>
    </row>
    <row r="27" spans="5:23" ht="15.6">
      <c r="U27" s="4" t="s">
        <v>47</v>
      </c>
      <c r="V27" s="52">
        <v>0.8</v>
      </c>
      <c r="W27" s="8" t="s">
        <v>3</v>
      </c>
    </row>
    <row r="28" spans="5:23" ht="15.6">
      <c r="U28" s="4" t="s">
        <v>48</v>
      </c>
      <c r="V28" s="139">
        <v>7.0000000000000007E-2</v>
      </c>
      <c r="W28" s="8" t="s">
        <v>3</v>
      </c>
    </row>
    <row r="29" spans="5:23" ht="15.6">
      <c r="U29" s="4" t="s">
        <v>49</v>
      </c>
      <c r="V29" s="139">
        <v>7.0000000000000007E-2</v>
      </c>
      <c r="W29" s="8" t="s">
        <v>3</v>
      </c>
    </row>
    <row r="30" spans="5:23" ht="15.6">
      <c r="U30" s="4" t="s">
        <v>50</v>
      </c>
      <c r="V30" s="139">
        <v>0.15</v>
      </c>
      <c r="W30" s="8" t="s">
        <v>3</v>
      </c>
    </row>
    <row r="31" spans="5:23" ht="16.2" thickBot="1">
      <c r="H31" s="193" t="s">
        <v>248</v>
      </c>
      <c r="I31" s="190"/>
      <c r="J31" s="190"/>
      <c r="U31" s="5" t="s">
        <v>51</v>
      </c>
      <c r="V31" s="54">
        <v>0.25</v>
      </c>
      <c r="W31" s="9"/>
    </row>
    <row r="32" spans="5:23" ht="15.6">
      <c r="H32" s="190">
        <v>1600</v>
      </c>
      <c r="I32" s="194" t="s">
        <v>15</v>
      </c>
      <c r="J32" s="190"/>
      <c r="U32"/>
      <c r="V32"/>
      <c r="W32"/>
    </row>
    <row r="33" spans="21:23" ht="16.2" thickBot="1">
      <c r="U33" s="296" t="s">
        <v>64</v>
      </c>
      <c r="V33" s="297"/>
      <c r="W33" s="298"/>
    </row>
    <row r="34" spans="21:23" ht="15.6">
      <c r="U34"/>
      <c r="V34"/>
      <c r="W34"/>
    </row>
    <row r="35" spans="21:23" ht="16.2" thickBot="1">
      <c r="U35" s="5" t="s">
        <v>29</v>
      </c>
      <c r="V35" s="144">
        <v>8.4900000000000003E-2</v>
      </c>
      <c r="W35" s="9" t="s">
        <v>30</v>
      </c>
    </row>
    <row r="36" spans="21:23" ht="15.6">
      <c r="U36" s="2"/>
      <c r="V36" s="2"/>
      <c r="W36" s="2"/>
    </row>
    <row r="37" spans="21:23" ht="16.2" thickBot="1">
      <c r="U37" s="5" t="s">
        <v>123</v>
      </c>
      <c r="V37" s="145">
        <v>0</v>
      </c>
      <c r="W37" s="9" t="s">
        <v>5</v>
      </c>
    </row>
    <row r="39" spans="21:23">
      <c r="U39" s="146"/>
    </row>
    <row r="59" spans="5:8">
      <c r="E59" s="132"/>
      <c r="F59" s="132"/>
      <c r="G59" s="134"/>
      <c r="H59" s="134"/>
    </row>
    <row r="93" spans="3:8">
      <c r="C93" s="129" t="s">
        <v>172</v>
      </c>
    </row>
    <row r="94" spans="3:8">
      <c r="E94" s="129" t="s">
        <v>173</v>
      </c>
      <c r="G94" s="129" t="s">
        <v>174</v>
      </c>
      <c r="H94" s="129" t="s">
        <v>22</v>
      </c>
    </row>
    <row r="95" spans="3:8">
      <c r="E95" s="129">
        <v>3.46</v>
      </c>
      <c r="G95" s="129">
        <v>14.5</v>
      </c>
      <c r="H95" s="129">
        <v>9</v>
      </c>
    </row>
    <row r="96" spans="3:8">
      <c r="E96" s="129">
        <v>5.46</v>
      </c>
      <c r="G96" s="129">
        <v>15.2</v>
      </c>
      <c r="H96" s="129">
        <v>8</v>
      </c>
    </row>
    <row r="97" spans="1:8">
      <c r="E97" s="129">
        <v>7.46</v>
      </c>
      <c r="G97" s="129">
        <v>15.8</v>
      </c>
      <c r="H97" s="129">
        <v>8</v>
      </c>
    </row>
    <row r="98" spans="1:8">
      <c r="E98" s="129">
        <v>9.4600000000000009</v>
      </c>
      <c r="G98" s="129">
        <v>16.5</v>
      </c>
      <c r="H98" s="129">
        <v>6</v>
      </c>
    </row>
    <row r="99" spans="1:8">
      <c r="E99" s="129">
        <v>11.46</v>
      </c>
      <c r="G99" s="129">
        <v>17</v>
      </c>
      <c r="H99" s="129">
        <v>6</v>
      </c>
    </row>
    <row r="102" spans="1:8">
      <c r="A102" s="129" t="s">
        <v>175</v>
      </c>
    </row>
    <row r="106" spans="1:8">
      <c r="C106" s="129" t="s">
        <v>176</v>
      </c>
      <c r="E106" s="129" t="s">
        <v>177</v>
      </c>
      <c r="G106" s="129" t="s">
        <v>174</v>
      </c>
      <c r="H106" s="129" t="s">
        <v>22</v>
      </c>
    </row>
    <row r="107" spans="1:8">
      <c r="E107" s="129">
        <v>10</v>
      </c>
      <c r="G107" s="129">
        <v>14.8</v>
      </c>
      <c r="H107" s="129">
        <v>6.78</v>
      </c>
    </row>
    <row r="108" spans="1:8">
      <c r="E108" s="129">
        <v>12</v>
      </c>
      <c r="G108" s="129">
        <v>15.1</v>
      </c>
      <c r="H108" s="129">
        <v>6.76</v>
      </c>
    </row>
    <row r="109" spans="1:8">
      <c r="E109" s="129">
        <v>15</v>
      </c>
    </row>
    <row r="110" spans="1:8">
      <c r="E110" s="129">
        <v>18</v>
      </c>
    </row>
    <row r="111" spans="1:8">
      <c r="E111" s="129">
        <v>20</v>
      </c>
    </row>
    <row r="125" spans="3:8">
      <c r="C125" s="129" t="s">
        <v>172</v>
      </c>
    </row>
    <row r="126" spans="3:8">
      <c r="E126" s="129" t="s">
        <v>173</v>
      </c>
      <c r="G126" s="129" t="s">
        <v>174</v>
      </c>
      <c r="H126" s="129" t="s">
        <v>22</v>
      </c>
    </row>
    <row r="127" spans="3:8">
      <c r="E127" s="129">
        <v>10</v>
      </c>
      <c r="G127" s="129">
        <v>14.3</v>
      </c>
      <c r="H127" s="129">
        <v>7</v>
      </c>
    </row>
    <row r="128" spans="3:8">
      <c r="E128" s="129">
        <v>12</v>
      </c>
      <c r="G128" s="129">
        <v>14.8</v>
      </c>
      <c r="H128" s="129">
        <v>7</v>
      </c>
    </row>
    <row r="129" spans="5:5">
      <c r="E129" s="129">
        <v>15</v>
      </c>
    </row>
    <row r="130" spans="5:5">
      <c r="E130" s="129">
        <v>18</v>
      </c>
    </row>
    <row r="131" spans="5:5">
      <c r="E131" s="129">
        <v>20</v>
      </c>
    </row>
  </sheetData>
  <mergeCells count="7">
    <mergeCell ref="U24:U25"/>
    <mergeCell ref="U33:W33"/>
    <mergeCell ref="U2:W2"/>
    <mergeCell ref="U4:W4"/>
    <mergeCell ref="U10:W10"/>
    <mergeCell ref="U17:W17"/>
    <mergeCell ref="U22:W2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784C3-6C25-4438-910A-49E20FEF9449}">
  <sheetPr codeName="Tabelle7"/>
  <dimension ref="A1:W119"/>
  <sheetViews>
    <sheetView workbookViewId="0">
      <selection activeCell="AE39" sqref="AE39"/>
    </sheetView>
  </sheetViews>
  <sheetFormatPr baseColWidth="10" defaultColWidth="8" defaultRowHeight="14.4"/>
  <cols>
    <col min="1" max="1" width="18.3984375" style="129" bestFit="1" customWidth="1"/>
    <col min="2" max="2" width="10.3984375" style="129" customWidth="1"/>
    <col min="3" max="3" width="11.09765625" style="129" customWidth="1"/>
    <col min="4" max="4" width="8" style="129"/>
    <col min="5" max="5" width="9.19921875" style="129" customWidth="1"/>
    <col min="6" max="6" width="12" style="129" customWidth="1"/>
    <col min="7" max="7" width="5.796875" style="129" customWidth="1"/>
    <col min="8" max="8" width="8" style="129"/>
    <col min="9" max="9" width="8.3984375" style="129" bestFit="1" customWidth="1"/>
    <col min="10" max="20" width="8" style="129"/>
    <col min="21" max="21" width="34" style="129" bestFit="1" customWidth="1"/>
    <col min="22" max="22" width="21" style="129" customWidth="1"/>
    <col min="23" max="23" width="10.796875" style="129" bestFit="1" customWidth="1"/>
    <col min="24" max="16384" width="8" style="129"/>
  </cols>
  <sheetData>
    <row r="1" spans="1:23">
      <c r="A1" s="130" t="s">
        <v>242</v>
      </c>
      <c r="B1" s="130" t="s">
        <v>178</v>
      </c>
      <c r="C1" s="130" t="s">
        <v>181</v>
      </c>
      <c r="D1" s="130" t="s">
        <v>22</v>
      </c>
      <c r="E1" s="149" t="s">
        <v>179</v>
      </c>
      <c r="F1" s="149" t="s">
        <v>180</v>
      </c>
    </row>
    <row r="2" spans="1:23" ht="15.6">
      <c r="A2" s="131">
        <v>0.05</v>
      </c>
      <c r="B2" s="131">
        <v>0.16766239572523176</v>
      </c>
      <c r="C2" s="131"/>
      <c r="D2" s="131">
        <v>-0.17405931498324145</v>
      </c>
      <c r="E2" s="148">
        <f>D2*100</f>
        <v>-17.405931498324144</v>
      </c>
      <c r="F2" s="147">
        <f>B2*1000</f>
        <v>167.66239572523176</v>
      </c>
      <c r="U2" s="310" t="s">
        <v>59</v>
      </c>
      <c r="V2" s="310"/>
      <c r="W2" s="310"/>
    </row>
    <row r="3" spans="1:23" ht="15.6">
      <c r="A3" s="131">
        <v>0.06</v>
      </c>
      <c r="B3" s="131">
        <v>0.15766239572523177</v>
      </c>
      <c r="C3" s="131"/>
      <c r="D3" s="131">
        <v>-0.14143745779578798</v>
      </c>
      <c r="E3" s="148">
        <f t="shared" ref="E3:E27" si="0">D3*100</f>
        <v>-14.143745779578797</v>
      </c>
      <c r="F3" s="147">
        <f t="shared" ref="F3:F8" si="1">B3*1000</f>
        <v>157.66239572523176</v>
      </c>
      <c r="H3" s="146" t="s">
        <v>184</v>
      </c>
      <c r="U3"/>
      <c r="V3"/>
      <c r="W3"/>
    </row>
    <row r="4" spans="1:23" ht="16.2" thickBot="1">
      <c r="A4" s="131">
        <v>7.0000000000000007E-2</v>
      </c>
      <c r="B4" s="131">
        <v>0.14766239572523171</v>
      </c>
      <c r="C4" s="131"/>
      <c r="D4" s="131">
        <v>-0.11654599767941232</v>
      </c>
      <c r="E4" s="148">
        <f t="shared" si="0"/>
        <v>-11.654599767941232</v>
      </c>
      <c r="F4" s="147">
        <f t="shared" si="1"/>
        <v>147.6623957252317</v>
      </c>
      <c r="U4" s="296" t="s">
        <v>60</v>
      </c>
      <c r="V4" s="297"/>
      <c r="W4" s="298"/>
    </row>
    <row r="5" spans="1:23" ht="15.6">
      <c r="A5" s="131">
        <v>0.08</v>
      </c>
      <c r="B5" s="131">
        <v>0.13766239572523176</v>
      </c>
      <c r="C5" s="131"/>
      <c r="D5" s="131">
        <v>-9.596087917708529E-2</v>
      </c>
      <c r="E5" s="148">
        <f t="shared" si="0"/>
        <v>-9.5960879177085285</v>
      </c>
      <c r="F5" s="147">
        <f t="shared" si="1"/>
        <v>137.66239572523176</v>
      </c>
      <c r="U5"/>
      <c r="V5"/>
      <c r="W5"/>
    </row>
    <row r="6" spans="1:23" ht="15.6">
      <c r="A6" s="131">
        <v>0.09</v>
      </c>
      <c r="B6" s="131">
        <v>0.12766239572523175</v>
      </c>
      <c r="C6" s="131"/>
      <c r="D6" s="131">
        <v>-7.8129085299846079E-2</v>
      </c>
      <c r="E6" s="148">
        <f t="shared" si="0"/>
        <v>-7.8129085299846075</v>
      </c>
      <c r="F6" s="147">
        <f t="shared" si="1"/>
        <v>127.66239572523175</v>
      </c>
      <c r="U6" s="62" t="s">
        <v>43</v>
      </c>
      <c r="V6" s="138">
        <v>18</v>
      </c>
      <c r="W6" s="64" t="s">
        <v>33</v>
      </c>
    </row>
    <row r="7" spans="1:23" ht="15.6">
      <c r="A7" s="131">
        <v>0.1</v>
      </c>
      <c r="B7" s="131">
        <v>0.11766239572523174</v>
      </c>
      <c r="C7" s="131"/>
      <c r="D7" s="131">
        <v>-6.2208543241988767E-2</v>
      </c>
      <c r="E7" s="148">
        <f t="shared" si="0"/>
        <v>-6.2208543241988767</v>
      </c>
      <c r="F7" s="147">
        <f t="shared" si="1"/>
        <v>117.66239572523173</v>
      </c>
      <c r="U7" s="62" t="s">
        <v>53</v>
      </c>
      <c r="V7" s="139">
        <v>7.1408474576271183E-2</v>
      </c>
      <c r="W7" s="64" t="s">
        <v>3</v>
      </c>
    </row>
    <row r="8" spans="1:23" ht="16.2" thickBot="1">
      <c r="A8" s="131">
        <v>0.11</v>
      </c>
      <c r="B8" s="131">
        <v>0.10766239572523174</v>
      </c>
      <c r="C8" s="131"/>
      <c r="D8" s="131">
        <v>-4.7689159889910293E-2</v>
      </c>
      <c r="E8" s="148">
        <f t="shared" si="0"/>
        <v>-4.7689159889910293</v>
      </c>
      <c r="F8" s="147">
        <f t="shared" si="1"/>
        <v>107.66239572523175</v>
      </c>
      <c r="U8" s="63" t="s">
        <v>129</v>
      </c>
      <c r="V8" s="140">
        <v>7.0000000000000007E-2</v>
      </c>
      <c r="W8" s="65" t="s">
        <v>3</v>
      </c>
    </row>
    <row r="9" spans="1:23" ht="15.6">
      <c r="A9" s="131">
        <v>0.12</v>
      </c>
      <c r="B9" s="131">
        <v>9.7662395725231749E-2</v>
      </c>
      <c r="C9" s="131"/>
      <c r="D9" s="131">
        <v>-3.423747010067868E-2</v>
      </c>
      <c r="E9" s="148">
        <f t="shared" si="0"/>
        <v>-3.423747010067868</v>
      </c>
      <c r="F9" s="147">
        <f t="shared" ref="F9:F16" si="2">B9*1000</f>
        <v>97.662395725231747</v>
      </c>
      <c r="U9"/>
      <c r="V9"/>
      <c r="W9"/>
    </row>
    <row r="10" spans="1:23" ht="16.2" thickBot="1">
      <c r="A10" s="131">
        <v>0.13</v>
      </c>
      <c r="B10" s="131">
        <v>8.7662395725231726E-2</v>
      </c>
      <c r="C10" s="131"/>
      <c r="D10" s="131">
        <v>-2.162294554788291E-2</v>
      </c>
      <c r="E10" s="148">
        <f t="shared" si="0"/>
        <v>-2.162294554788291</v>
      </c>
      <c r="F10" s="147">
        <f t="shared" si="2"/>
        <v>87.662395725231733</v>
      </c>
      <c r="U10" s="296" t="s">
        <v>61</v>
      </c>
      <c r="V10" s="297"/>
      <c r="W10" s="298"/>
    </row>
    <row r="11" spans="1:23" ht="15.6">
      <c r="A11" s="131">
        <v>0.14000000000000001</v>
      </c>
      <c r="B11" s="131">
        <v>7.7662395725231717E-2</v>
      </c>
      <c r="C11" s="131"/>
      <c r="D11" s="131">
        <v>-9.6792438416842819E-3</v>
      </c>
      <c r="E11" s="148">
        <f t="shared" si="0"/>
        <v>-0.96792438416842819</v>
      </c>
      <c r="F11" s="147">
        <f t="shared" si="2"/>
        <v>77.662395725231718</v>
      </c>
      <c r="U11"/>
      <c r="V11"/>
      <c r="W11"/>
    </row>
    <row r="12" spans="1:23" ht="15.6">
      <c r="A12" s="131">
        <v>0.15</v>
      </c>
      <c r="B12" s="131">
        <v>6.7662395725231722E-2</v>
      </c>
      <c r="C12" s="131">
        <v>17.760930494527333</v>
      </c>
      <c r="D12" s="131">
        <v>1.7178037930623002E-3</v>
      </c>
      <c r="E12" s="148">
        <f t="shared" si="0"/>
        <v>0.17178037930623002</v>
      </c>
      <c r="F12" s="147">
        <f t="shared" si="2"/>
        <v>67.662395725231718</v>
      </c>
      <c r="U12" s="62" t="s">
        <v>16</v>
      </c>
      <c r="V12" s="141">
        <v>1500</v>
      </c>
      <c r="W12" s="64" t="s">
        <v>15</v>
      </c>
    </row>
    <row r="13" spans="1:23" ht="15.6">
      <c r="A13" s="131">
        <v>0.16</v>
      </c>
      <c r="B13" s="131">
        <v>5.7662395725231706E-2</v>
      </c>
      <c r="C13" s="131">
        <v>16.348603548105181</v>
      </c>
      <c r="D13" s="131">
        <v>1.266347185585448E-2</v>
      </c>
      <c r="E13" s="148">
        <f t="shared" si="0"/>
        <v>1.266347185585448</v>
      </c>
      <c r="F13" s="147">
        <f t="shared" si="2"/>
        <v>57.662395725231704</v>
      </c>
      <c r="U13" s="62" t="s">
        <v>17</v>
      </c>
      <c r="V13" s="141">
        <v>1</v>
      </c>
      <c r="W13" s="64" t="s">
        <v>18</v>
      </c>
    </row>
    <row r="14" spans="1:23" ht="15.6">
      <c r="A14" s="131">
        <v>0.17</v>
      </c>
      <c r="B14" s="131">
        <v>4.7662395725231704E-2</v>
      </c>
      <c r="C14" s="131">
        <v>15.151694818719577</v>
      </c>
      <c r="D14" s="131">
        <v>2.3232548055694524E-2</v>
      </c>
      <c r="E14" s="148">
        <f t="shared" si="0"/>
        <v>2.3232548055694524</v>
      </c>
      <c r="F14" s="147">
        <f t="shared" si="2"/>
        <v>47.662395725231704</v>
      </c>
      <c r="U14" s="62" t="s">
        <v>19</v>
      </c>
      <c r="V14" s="29">
        <v>1500</v>
      </c>
      <c r="W14" s="64" t="s">
        <v>1</v>
      </c>
    </row>
    <row r="15" spans="1:23" ht="16.2" thickBot="1">
      <c r="A15" s="131">
        <v>0.18</v>
      </c>
      <c r="B15" s="131">
        <v>3.7662395725231723E-2</v>
      </c>
      <c r="C15" s="131">
        <v>14.123531348579199</v>
      </c>
      <c r="D15" s="131">
        <v>3.3484871810664396E-2</v>
      </c>
      <c r="E15" s="148">
        <f t="shared" si="0"/>
        <v>3.3484871810664396</v>
      </c>
      <c r="F15" s="147">
        <f t="shared" si="2"/>
        <v>37.662395725231725</v>
      </c>
      <c r="U15" s="63" t="s">
        <v>2</v>
      </c>
      <c r="V15" s="142">
        <v>3.0000000000000001E-3</v>
      </c>
      <c r="W15" s="65" t="s">
        <v>3</v>
      </c>
    </row>
    <row r="16" spans="1:23" ht="15.6">
      <c r="A16" s="131">
        <v>0.19</v>
      </c>
      <c r="B16" s="131">
        <v>2.7662395725231707E-2</v>
      </c>
      <c r="C16" s="131">
        <v>13.229911141952796</v>
      </c>
      <c r="D16" s="131">
        <v>4.3469105988170664E-2</v>
      </c>
      <c r="E16" s="148">
        <f t="shared" si="0"/>
        <v>4.3469105988170664</v>
      </c>
      <c r="F16" s="147">
        <f t="shared" si="2"/>
        <v>27.662395725231708</v>
      </c>
      <c r="U16"/>
      <c r="V16"/>
      <c r="W16"/>
    </row>
    <row r="17" spans="1:23" ht="16.2" thickBot="1">
      <c r="A17" s="131">
        <v>0.2</v>
      </c>
      <c r="B17" s="131">
        <v>1.7662395725231705E-2</v>
      </c>
      <c r="C17" s="131">
        <v>12.445197212882951</v>
      </c>
      <c r="D17" s="131">
        <v>5.3225378979476101E-2</v>
      </c>
      <c r="E17" s="148">
        <f t="shared" si="0"/>
        <v>5.3225378979476101</v>
      </c>
      <c r="F17" s="147">
        <f t="shared" ref="F17:F21" si="3">B17*1000</f>
        <v>17.662395725231704</v>
      </c>
      <c r="U17" s="296" t="s">
        <v>62</v>
      </c>
      <c r="V17" s="297"/>
      <c r="W17" s="298"/>
    </row>
    <row r="18" spans="1:23" ht="15.6">
      <c r="A18" s="131">
        <v>0.21</v>
      </c>
      <c r="B18" s="131">
        <v>7.6623957252317069E-3</v>
      </c>
      <c r="C18" s="131">
        <v>11.749793188630859</v>
      </c>
      <c r="D18" s="131">
        <v>6.2787180929793074E-2</v>
      </c>
      <c r="E18" s="148">
        <f t="shared" si="0"/>
        <v>6.2787180929793074</v>
      </c>
      <c r="F18" s="147">
        <f t="shared" si="3"/>
        <v>7.6623957252317068</v>
      </c>
      <c r="U18"/>
      <c r="V18"/>
      <c r="W18"/>
    </row>
    <row r="19" spans="1:23" ht="15.6">
      <c r="A19" s="131">
        <v>0.22</v>
      </c>
      <c r="B19" s="131">
        <v>-2.3376042747682941E-3</v>
      </c>
      <c r="C19" s="131">
        <v>11.129262264168364</v>
      </c>
      <c r="D19" s="131">
        <v>7.218275373362526E-2</v>
      </c>
      <c r="E19" s="148">
        <f t="shared" si="0"/>
        <v>7.218275373362526</v>
      </c>
      <c r="F19" s="147">
        <f t="shared" si="3"/>
        <v>-2.3376042747682941</v>
      </c>
      <c r="U19" s="50" t="s">
        <v>21</v>
      </c>
      <c r="V19" s="32">
        <v>32</v>
      </c>
      <c r="W19" s="31" t="s">
        <v>5</v>
      </c>
    </row>
    <row r="20" spans="1:23" ht="16.2" thickBot="1">
      <c r="A20" s="131">
        <v>0.23</v>
      </c>
      <c r="B20" s="131">
        <v>-1.2337604274768311E-2</v>
      </c>
      <c r="C20" s="131">
        <v>10.572587462091741</v>
      </c>
      <c r="D20" s="131">
        <v>8.1436128984244016E-2</v>
      </c>
      <c r="E20" s="148">
        <f t="shared" si="0"/>
        <v>8.1436128984244007</v>
      </c>
      <c r="F20" s="147">
        <f t="shared" si="3"/>
        <v>-12.33760427476831</v>
      </c>
      <c r="U20" s="5" t="s">
        <v>86</v>
      </c>
      <c r="V20" s="140">
        <v>0.02</v>
      </c>
      <c r="W20" s="9" t="s">
        <v>3</v>
      </c>
    </row>
    <row r="21" spans="1:23" ht="15.6">
      <c r="A21" s="131">
        <v>0.24</v>
      </c>
      <c r="B21" s="131">
        <v>-2.2337604274768282E-2</v>
      </c>
      <c r="C21" s="131">
        <v>10.068858273621304</v>
      </c>
      <c r="D21" s="131">
        <v>9.0567916015433125E-2</v>
      </c>
      <c r="E21" s="148">
        <f t="shared" si="0"/>
        <v>9.0567916015433134</v>
      </c>
      <c r="F21" s="147">
        <f t="shared" si="3"/>
        <v>-22.337604274768282</v>
      </c>
      <c r="U21"/>
      <c r="V21"/>
      <c r="W21"/>
    </row>
    <row r="22" spans="1:23" ht="16.2" thickBot="1">
      <c r="A22" s="131">
        <v>0.25</v>
      </c>
      <c r="B22" s="131">
        <v>-3.2337604274768297E-2</v>
      </c>
      <c r="C22" s="131">
        <v>9.6124841167342456</v>
      </c>
      <c r="D22" s="131">
        <v>9.9595908916574549E-2</v>
      </c>
      <c r="E22" s="148">
        <f t="shared" si="0"/>
        <v>9.9595908916574558</v>
      </c>
      <c r="F22" s="147">
        <f t="shared" ref="F22" si="4">B22*1000</f>
        <v>-32.337604274768296</v>
      </c>
      <c r="U22" s="296" t="s">
        <v>63</v>
      </c>
      <c r="V22" s="297"/>
      <c r="W22" s="298"/>
    </row>
    <row r="23" spans="1:23" ht="15.6">
      <c r="A23" s="131">
        <v>0.26</v>
      </c>
      <c r="B23" s="131">
        <v>-4.2337604274768313E-2</v>
      </c>
      <c r="C23" s="131">
        <v>9.1955150201483402</v>
      </c>
      <c r="D23" s="131">
        <v>0.1085355605116467</v>
      </c>
      <c r="E23" s="148">
        <f t="shared" si="0"/>
        <v>10.85355605116467</v>
      </c>
      <c r="F23" s="147">
        <f t="shared" ref="F23:F27" si="5">B23*1000</f>
        <v>-42.33760427476831</v>
      </c>
      <c r="G23" s="132"/>
      <c r="H23" s="132"/>
      <c r="U23"/>
      <c r="V23"/>
      <c r="W23"/>
    </row>
    <row r="24" spans="1:23" ht="15.6">
      <c r="A24" s="131">
        <v>0.27</v>
      </c>
      <c r="B24" s="131">
        <v>-5.2337604274768329E-2</v>
      </c>
      <c r="C24" s="131">
        <v>8.8137638599213339</v>
      </c>
      <c r="D24" s="131">
        <v>0.11740035691053796</v>
      </c>
      <c r="E24" s="148">
        <f t="shared" si="0"/>
        <v>11.740035691053796</v>
      </c>
      <c r="F24" s="147">
        <f t="shared" si="5"/>
        <v>-52.337604274768331</v>
      </c>
      <c r="U24" s="299" t="s">
        <v>4</v>
      </c>
      <c r="V24" s="143">
        <v>1600</v>
      </c>
      <c r="W24" s="8" t="s">
        <v>20</v>
      </c>
    </row>
    <row r="25" spans="1:23" ht="15.6">
      <c r="A25" s="131">
        <v>0.28000000000000003</v>
      </c>
      <c r="B25" s="131">
        <v>-6.2337604274768345E-2</v>
      </c>
      <c r="C25" s="131">
        <v>8.4630180053711843</v>
      </c>
      <c r="D25" s="131">
        <v>0.12620211676671445</v>
      </c>
      <c r="E25" s="148">
        <f t="shared" si="0"/>
        <v>12.620211676671445</v>
      </c>
      <c r="F25" s="147">
        <f t="shared" si="5"/>
        <v>-62.337604274768346</v>
      </c>
      <c r="U25" s="300"/>
      <c r="V25" s="32">
        <v>1600</v>
      </c>
      <c r="W25" s="31" t="s">
        <v>5</v>
      </c>
    </row>
    <row r="26" spans="1:23" ht="15.6">
      <c r="A26" s="131">
        <v>0.28999999999999998</v>
      </c>
      <c r="B26" s="131">
        <v>-7.2337604274768333E-2</v>
      </c>
      <c r="C26" s="131">
        <v>8.1388039554869991</v>
      </c>
      <c r="D26" s="131">
        <v>0.13495123295383937</v>
      </c>
      <c r="E26" s="148">
        <f t="shared" si="0"/>
        <v>13.495123295383937</v>
      </c>
      <c r="F26" s="147">
        <f t="shared" si="5"/>
        <v>-72.337604274768339</v>
      </c>
      <c r="U26" s="4" t="s">
        <v>46</v>
      </c>
      <c r="V26" s="139">
        <v>0.2</v>
      </c>
      <c r="W26" s="8" t="s">
        <v>3</v>
      </c>
    </row>
    <row r="27" spans="1:23" ht="15.6">
      <c r="A27" s="131">
        <v>0.3</v>
      </c>
      <c r="B27" s="131">
        <v>-8.2337604274768314E-2</v>
      </c>
      <c r="C27" s="131">
        <v>7.8390449542675391</v>
      </c>
      <c r="D27" s="131">
        <v>0.14365686959475754</v>
      </c>
      <c r="E27" s="148">
        <f t="shared" si="0"/>
        <v>14.365686959475754</v>
      </c>
      <c r="F27" s="147">
        <f t="shared" si="5"/>
        <v>-82.33760427476831</v>
      </c>
      <c r="U27" s="4" t="s">
        <v>47</v>
      </c>
      <c r="V27" s="52">
        <v>0.8</v>
      </c>
      <c r="W27" s="8" t="s">
        <v>3</v>
      </c>
    </row>
    <row r="28" spans="1:23" ht="15.6">
      <c r="U28" s="4" t="s">
        <v>48</v>
      </c>
      <c r="V28" s="139">
        <v>7.0000000000000007E-2</v>
      </c>
      <c r="W28" s="8" t="s">
        <v>3</v>
      </c>
    </row>
    <row r="29" spans="1:23" ht="15.6">
      <c r="U29" s="4" t="s">
        <v>49</v>
      </c>
      <c r="V29" s="139">
        <v>7.0000000000000007E-2</v>
      </c>
      <c r="W29" s="8" t="s">
        <v>3</v>
      </c>
    </row>
    <row r="30" spans="1:23" ht="15.6">
      <c r="U30" s="4" t="s">
        <v>50</v>
      </c>
      <c r="V30" s="139">
        <v>0.15</v>
      </c>
      <c r="W30" s="8" t="s">
        <v>3</v>
      </c>
    </row>
    <row r="31" spans="1:23" ht="16.2" thickBot="1">
      <c r="U31" s="5" t="s">
        <v>51</v>
      </c>
      <c r="V31" s="54">
        <v>0.25</v>
      </c>
      <c r="W31" s="9"/>
    </row>
    <row r="32" spans="1:23" ht="15.6">
      <c r="U32"/>
      <c r="V32"/>
      <c r="W32"/>
    </row>
    <row r="33" spans="8:23" ht="16.2" thickBot="1">
      <c r="U33" s="296" t="s">
        <v>64</v>
      </c>
      <c r="V33" s="297"/>
      <c r="W33" s="298"/>
    </row>
    <row r="34" spans="8:23" ht="15.6">
      <c r="U34"/>
      <c r="V34"/>
      <c r="W34"/>
    </row>
    <row r="35" spans="8:23" ht="16.2" thickBot="1">
      <c r="H35" s="195" t="s">
        <v>194</v>
      </c>
      <c r="I35" s="196">
        <v>8.4900000000000003E-2</v>
      </c>
      <c r="J35" s="197" t="s">
        <v>243</v>
      </c>
      <c r="K35" s="190"/>
      <c r="U35" s="5" t="s">
        <v>29</v>
      </c>
      <c r="V35" s="183" t="s">
        <v>182</v>
      </c>
      <c r="W35" s="9" t="s">
        <v>30</v>
      </c>
    </row>
    <row r="36" spans="8:23" ht="15.6">
      <c r="H36" s="190"/>
      <c r="I36" s="190">
        <v>8.4900000000000003E-2</v>
      </c>
      <c r="J36" s="190"/>
      <c r="K36" s="190"/>
      <c r="U36" s="2"/>
      <c r="V36" s="2"/>
      <c r="W36" s="2"/>
    </row>
    <row r="37" spans="8:23" ht="16.2" thickBot="1">
      <c r="U37" s="5" t="s">
        <v>123</v>
      </c>
      <c r="V37" s="145">
        <v>0</v>
      </c>
      <c r="W37" s="9" t="s">
        <v>5</v>
      </c>
    </row>
    <row r="40" spans="8:23">
      <c r="U40" s="146"/>
    </row>
    <row r="81" spans="1:8">
      <c r="C81" s="129" t="s">
        <v>172</v>
      </c>
    </row>
    <row r="82" spans="1:8">
      <c r="E82" s="129" t="s">
        <v>173</v>
      </c>
      <c r="G82" s="129" t="s">
        <v>174</v>
      </c>
      <c r="H82" s="129" t="s">
        <v>22</v>
      </c>
    </row>
    <row r="83" spans="1:8">
      <c r="E83" s="129">
        <v>3.46</v>
      </c>
      <c r="G83" s="129">
        <v>14.5</v>
      </c>
      <c r="H83" s="129">
        <v>9</v>
      </c>
    </row>
    <row r="84" spans="1:8">
      <c r="E84" s="129">
        <v>5.46</v>
      </c>
      <c r="G84" s="129">
        <v>15.2</v>
      </c>
      <c r="H84" s="129">
        <v>8</v>
      </c>
    </row>
    <row r="85" spans="1:8">
      <c r="E85" s="129">
        <v>7.46</v>
      </c>
      <c r="G85" s="129">
        <v>15.8</v>
      </c>
      <c r="H85" s="129">
        <v>8</v>
      </c>
    </row>
    <row r="86" spans="1:8">
      <c r="E86" s="129">
        <v>9.4600000000000009</v>
      </c>
      <c r="G86" s="129">
        <v>16.5</v>
      </c>
      <c r="H86" s="129">
        <v>6</v>
      </c>
    </row>
    <row r="87" spans="1:8">
      <c r="E87" s="129">
        <v>11.46</v>
      </c>
      <c r="G87" s="129">
        <v>17</v>
      </c>
      <c r="H87" s="129">
        <v>6</v>
      </c>
    </row>
    <row r="90" spans="1:8">
      <c r="A90" s="129" t="s">
        <v>175</v>
      </c>
    </row>
    <row r="94" spans="1:8">
      <c r="C94" s="129" t="s">
        <v>176</v>
      </c>
      <c r="E94" s="129" t="s">
        <v>177</v>
      </c>
      <c r="G94" s="129" t="s">
        <v>174</v>
      </c>
      <c r="H94" s="129" t="s">
        <v>22</v>
      </c>
    </row>
    <row r="95" spans="1:8">
      <c r="E95" s="129">
        <v>10</v>
      </c>
      <c r="G95" s="129">
        <v>14.8</v>
      </c>
      <c r="H95" s="129">
        <v>6.78</v>
      </c>
    </row>
    <row r="96" spans="1:8">
      <c r="E96" s="129">
        <v>12</v>
      </c>
      <c r="G96" s="129">
        <v>15.1</v>
      </c>
      <c r="H96" s="129">
        <v>6.76</v>
      </c>
    </row>
    <row r="97" spans="5:5">
      <c r="E97" s="129">
        <v>15</v>
      </c>
    </row>
    <row r="98" spans="5:5">
      <c r="E98" s="129">
        <v>18</v>
      </c>
    </row>
    <row r="99" spans="5:5">
      <c r="E99" s="129">
        <v>20</v>
      </c>
    </row>
    <row r="113" spans="3:8">
      <c r="C113" s="129" t="s">
        <v>172</v>
      </c>
    </row>
    <row r="114" spans="3:8">
      <c r="E114" s="129" t="s">
        <v>173</v>
      </c>
      <c r="G114" s="129" t="s">
        <v>174</v>
      </c>
      <c r="H114" s="129" t="s">
        <v>22</v>
      </c>
    </row>
    <row r="115" spans="3:8">
      <c r="E115" s="129">
        <v>10</v>
      </c>
      <c r="G115" s="129">
        <v>14.3</v>
      </c>
      <c r="H115" s="129">
        <v>7</v>
      </c>
    </row>
    <row r="116" spans="3:8">
      <c r="E116" s="129">
        <v>12</v>
      </c>
      <c r="G116" s="129">
        <v>14.8</v>
      </c>
      <c r="H116" s="129">
        <v>7</v>
      </c>
    </row>
    <row r="117" spans="3:8">
      <c r="E117" s="129">
        <v>15</v>
      </c>
    </row>
    <row r="118" spans="3:8">
      <c r="E118" s="129">
        <v>18</v>
      </c>
    </row>
    <row r="119" spans="3:8">
      <c r="E119" s="129">
        <v>20</v>
      </c>
    </row>
  </sheetData>
  <mergeCells count="7">
    <mergeCell ref="U33:W33"/>
    <mergeCell ref="U2:W2"/>
    <mergeCell ref="U4:W4"/>
    <mergeCell ref="U10:W10"/>
    <mergeCell ref="U17:W17"/>
    <mergeCell ref="U22:W22"/>
    <mergeCell ref="U24:U2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960A3-E0C8-481C-8CF5-AA1D045BCF87}">
  <sheetPr codeName="Tabelle4"/>
  <dimension ref="A1:W119"/>
  <sheetViews>
    <sheetView workbookViewId="0">
      <selection activeCell="AE39" sqref="AE39"/>
    </sheetView>
  </sheetViews>
  <sheetFormatPr baseColWidth="10" defaultColWidth="8" defaultRowHeight="14.4"/>
  <cols>
    <col min="1" max="1" width="18.3984375" style="129" bestFit="1" customWidth="1"/>
    <col min="2" max="2" width="10.3984375" style="129" customWidth="1"/>
    <col min="3" max="3" width="11.09765625" style="129" customWidth="1"/>
    <col min="4" max="4" width="8" style="129"/>
    <col min="5" max="5" width="9.19921875" style="129" customWidth="1"/>
    <col min="6" max="6" width="12" style="129" customWidth="1"/>
    <col min="7" max="7" width="5.796875" style="129" customWidth="1"/>
    <col min="8" max="20" width="8" style="129"/>
    <col min="21" max="21" width="34" style="129" bestFit="1" customWidth="1"/>
    <col min="22" max="22" width="21" style="129" customWidth="1"/>
    <col min="23" max="23" width="10.796875" style="129" bestFit="1" customWidth="1"/>
    <col min="24" max="16384" width="8" style="129"/>
  </cols>
  <sheetData>
    <row r="1" spans="1:23">
      <c r="A1" s="130" t="s">
        <v>170</v>
      </c>
      <c r="B1" s="130" t="s">
        <v>178</v>
      </c>
      <c r="C1" s="130" t="s">
        <v>181</v>
      </c>
      <c r="D1" s="130" t="s">
        <v>22</v>
      </c>
      <c r="E1" s="149" t="s">
        <v>179</v>
      </c>
      <c r="F1" s="149" t="s">
        <v>180</v>
      </c>
    </row>
    <row r="2" spans="1:23" ht="15.6">
      <c r="A2" s="131">
        <v>1200</v>
      </c>
      <c r="B2" s="131">
        <v>0.18717799465653964</v>
      </c>
      <c r="C2" s="131"/>
      <c r="D2" s="131">
        <v>-0.12129585653113728</v>
      </c>
      <c r="E2" s="148">
        <f>D2*100</f>
        <v>-12.129585653113729</v>
      </c>
      <c r="F2" s="147">
        <f>B2*1000</f>
        <v>187.17799465653965</v>
      </c>
      <c r="U2" s="310" t="s">
        <v>59</v>
      </c>
      <c r="V2" s="310"/>
      <c r="W2" s="310"/>
    </row>
    <row r="3" spans="1:23" ht="15.6">
      <c r="A3" s="131">
        <v>1300</v>
      </c>
      <c r="B3" s="131">
        <v>0.1662489181444981</v>
      </c>
      <c r="C3" s="131"/>
      <c r="D3" s="131">
        <v>-0.10878477068925718</v>
      </c>
      <c r="E3" s="148">
        <f t="shared" ref="E3:E8" si="0">D3*100</f>
        <v>-10.878477068925719</v>
      </c>
      <c r="F3" s="147">
        <f t="shared" ref="F3:F8" si="1">B3*1000</f>
        <v>166.24891814449811</v>
      </c>
      <c r="U3"/>
      <c r="V3"/>
      <c r="W3"/>
    </row>
    <row r="4" spans="1:23" ht="16.2" thickBot="1">
      <c r="A4" s="131">
        <v>1400</v>
      </c>
      <c r="B4" s="131">
        <v>0.14830970970560542</v>
      </c>
      <c r="C4" s="131"/>
      <c r="D4" s="131">
        <v>-9.741486378637032E-2</v>
      </c>
      <c r="E4" s="148">
        <f t="shared" si="0"/>
        <v>-9.7414863786370312</v>
      </c>
      <c r="F4" s="147">
        <f t="shared" si="1"/>
        <v>148.30970970560543</v>
      </c>
      <c r="H4" s="146" t="s">
        <v>184</v>
      </c>
      <c r="U4" s="296" t="s">
        <v>60</v>
      </c>
      <c r="V4" s="297"/>
      <c r="W4" s="298"/>
    </row>
    <row r="5" spans="1:23" ht="15.6">
      <c r="A5" s="131">
        <v>1500</v>
      </c>
      <c r="B5" s="131">
        <v>0.13276239572523174</v>
      </c>
      <c r="C5" s="131"/>
      <c r="D5" s="131">
        <v>-8.6942078670807943E-2</v>
      </c>
      <c r="E5" s="148">
        <f t="shared" si="0"/>
        <v>-8.6942078670807952</v>
      </c>
      <c r="F5" s="147">
        <f t="shared" si="1"/>
        <v>132.76239572523173</v>
      </c>
      <c r="U5"/>
      <c r="V5"/>
      <c r="W5"/>
    </row>
    <row r="6" spans="1:23" ht="15.6">
      <c r="A6" s="131">
        <v>1600</v>
      </c>
      <c r="B6" s="131">
        <v>0.11915849599240472</v>
      </c>
      <c r="C6" s="131"/>
      <c r="D6" s="131">
        <v>-7.7192859682447268E-2</v>
      </c>
      <c r="E6" s="148">
        <f t="shared" si="0"/>
        <v>-7.7192859682447263</v>
      </c>
      <c r="F6" s="147">
        <f t="shared" si="1"/>
        <v>119.15849599240472</v>
      </c>
      <c r="U6" s="62" t="s">
        <v>43</v>
      </c>
      <c r="V6" s="138">
        <v>18</v>
      </c>
      <c r="W6" s="64" t="s">
        <v>33</v>
      </c>
    </row>
    <row r="7" spans="1:23" ht="15.6">
      <c r="A7" s="131">
        <v>1700</v>
      </c>
      <c r="B7" s="131">
        <v>0.10715505505167502</v>
      </c>
      <c r="C7" s="131"/>
      <c r="D7" s="131">
        <v>-6.803919901735056E-2</v>
      </c>
      <c r="E7" s="148">
        <f t="shared" si="0"/>
        <v>-6.803919901735056</v>
      </c>
      <c r="F7" s="147">
        <f t="shared" si="1"/>
        <v>107.15505505167502</v>
      </c>
      <c r="U7" s="62" t="s">
        <v>53</v>
      </c>
      <c r="V7" s="139">
        <v>7.1408474576271183E-2</v>
      </c>
      <c r="W7" s="64" t="s">
        <v>3</v>
      </c>
    </row>
    <row r="8" spans="1:23" ht="16.2" thickBot="1">
      <c r="A8" s="131">
        <v>1800</v>
      </c>
      <c r="B8" s="131">
        <v>9.6485329771026432E-2</v>
      </c>
      <c r="C8" s="131"/>
      <c r="D8" s="131">
        <v>-5.9383865803912417E-2</v>
      </c>
      <c r="E8" s="148">
        <f t="shared" si="0"/>
        <v>-5.9383865803912421</v>
      </c>
      <c r="F8" s="147">
        <f t="shared" si="1"/>
        <v>96.485329771026429</v>
      </c>
      <c r="U8" s="63" t="s">
        <v>129</v>
      </c>
      <c r="V8" s="140">
        <v>7.0000000000000007E-2</v>
      </c>
      <c r="W8" s="65" t="s">
        <v>3</v>
      </c>
    </row>
    <row r="9" spans="1:23" ht="15.6">
      <c r="U9"/>
      <c r="V9"/>
      <c r="W9"/>
    </row>
    <row r="10" spans="1:23" ht="16.2" thickBot="1">
      <c r="U10" s="296" t="s">
        <v>61</v>
      </c>
      <c r="V10" s="297"/>
      <c r="W10" s="298"/>
    </row>
    <row r="11" spans="1:23" ht="15.6">
      <c r="U11"/>
      <c r="V11"/>
      <c r="W11"/>
    </row>
    <row r="12" spans="1:23" ht="15.6">
      <c r="U12" s="62" t="s">
        <v>16</v>
      </c>
      <c r="V12" s="136" t="s">
        <v>182</v>
      </c>
      <c r="W12" s="64" t="s">
        <v>15</v>
      </c>
    </row>
    <row r="13" spans="1:23" ht="15.6">
      <c r="U13" s="62" t="s">
        <v>17</v>
      </c>
      <c r="V13" s="141">
        <v>1</v>
      </c>
      <c r="W13" s="64" t="s">
        <v>18</v>
      </c>
    </row>
    <row r="14" spans="1:23" ht="15.6">
      <c r="U14" s="62" t="s">
        <v>19</v>
      </c>
      <c r="V14" s="29"/>
      <c r="W14" s="64" t="s">
        <v>1</v>
      </c>
    </row>
    <row r="15" spans="1:23" ht="16.2" thickBot="1">
      <c r="U15" s="63" t="s">
        <v>2</v>
      </c>
      <c r="V15" s="142">
        <v>3.0000000000000001E-3</v>
      </c>
      <c r="W15" s="65" t="s">
        <v>3</v>
      </c>
    </row>
    <row r="16" spans="1:23" ht="15.6">
      <c r="U16"/>
      <c r="V16"/>
      <c r="W16"/>
    </row>
    <row r="17" spans="5:23" ht="16.2" thickBot="1">
      <c r="U17" s="296" t="s">
        <v>62</v>
      </c>
      <c r="V17" s="297"/>
      <c r="W17" s="298"/>
    </row>
    <row r="18" spans="5:23" ht="15.6">
      <c r="U18"/>
      <c r="V18"/>
      <c r="W18"/>
    </row>
    <row r="19" spans="5:23" ht="15.6">
      <c r="U19" s="50" t="s">
        <v>21</v>
      </c>
      <c r="V19" s="32">
        <v>32</v>
      </c>
      <c r="W19" s="31" t="s">
        <v>5</v>
      </c>
    </row>
    <row r="20" spans="5:23" ht="16.2" thickBot="1">
      <c r="U20" s="5" t="s">
        <v>86</v>
      </c>
      <c r="V20" s="140">
        <v>0.02</v>
      </c>
      <c r="W20" s="9" t="s">
        <v>3</v>
      </c>
    </row>
    <row r="21" spans="5:23" ht="15.6">
      <c r="U21"/>
      <c r="V21"/>
      <c r="W21"/>
    </row>
    <row r="22" spans="5:23" ht="16.2" thickBot="1">
      <c r="U22" s="296" t="s">
        <v>63</v>
      </c>
      <c r="V22" s="297"/>
      <c r="W22" s="298"/>
    </row>
    <row r="23" spans="5:23" ht="15.6">
      <c r="E23" s="132"/>
      <c r="F23" s="132"/>
      <c r="G23" s="132"/>
      <c r="H23" s="132"/>
      <c r="U23"/>
      <c r="V23"/>
      <c r="W23"/>
    </row>
    <row r="24" spans="5:23" ht="15.6">
      <c r="U24" s="299" t="s">
        <v>4</v>
      </c>
      <c r="V24" s="143">
        <v>1600</v>
      </c>
      <c r="W24" s="8" t="s">
        <v>20</v>
      </c>
    </row>
    <row r="25" spans="5:23" ht="15.6">
      <c r="U25" s="300"/>
      <c r="V25" s="32">
        <v>1600</v>
      </c>
      <c r="W25" s="31" t="s">
        <v>5</v>
      </c>
    </row>
    <row r="26" spans="5:23" ht="15.6">
      <c r="U26" s="4" t="s">
        <v>46</v>
      </c>
      <c r="V26" s="139">
        <v>0.2</v>
      </c>
      <c r="W26" s="8" t="s">
        <v>3</v>
      </c>
    </row>
    <row r="27" spans="5:23" ht="15.6">
      <c r="U27" s="4" t="s">
        <v>47</v>
      </c>
      <c r="V27" s="52">
        <v>0.8</v>
      </c>
      <c r="W27" s="8" t="s">
        <v>3</v>
      </c>
    </row>
    <row r="28" spans="5:23" ht="15.6">
      <c r="H28" s="193" t="s">
        <v>248</v>
      </c>
      <c r="I28" s="190"/>
      <c r="J28" s="190"/>
      <c r="U28" s="4" t="s">
        <v>48</v>
      </c>
      <c r="V28" s="139">
        <v>7.0000000000000007E-2</v>
      </c>
      <c r="W28" s="8" t="s">
        <v>3</v>
      </c>
    </row>
    <row r="29" spans="5:23" ht="15.6">
      <c r="H29" s="190">
        <v>1500</v>
      </c>
      <c r="I29" s="194" t="s">
        <v>15</v>
      </c>
      <c r="J29" s="190"/>
      <c r="U29" s="4" t="s">
        <v>49</v>
      </c>
      <c r="V29" s="139">
        <v>7.0000000000000007E-2</v>
      </c>
      <c r="W29" s="8" t="s">
        <v>3</v>
      </c>
    </row>
    <row r="30" spans="5:23" ht="15.6">
      <c r="U30" s="4" t="s">
        <v>50</v>
      </c>
      <c r="V30" s="139">
        <v>0.15</v>
      </c>
      <c r="W30" s="8" t="s">
        <v>3</v>
      </c>
    </row>
    <row r="31" spans="5:23" ht="16.2" thickBot="1">
      <c r="U31" s="5" t="s">
        <v>51</v>
      </c>
      <c r="V31" s="54">
        <v>0.25</v>
      </c>
      <c r="W31" s="9"/>
    </row>
    <row r="32" spans="5:23" ht="15.6">
      <c r="U32"/>
      <c r="V32"/>
      <c r="W32"/>
    </row>
    <row r="33" spans="21:23" ht="16.2" thickBot="1">
      <c r="U33" s="296" t="s">
        <v>64</v>
      </c>
      <c r="V33" s="297"/>
      <c r="W33" s="298"/>
    </row>
    <row r="34" spans="21:23" ht="15.6">
      <c r="U34"/>
      <c r="V34"/>
      <c r="W34"/>
    </row>
    <row r="35" spans="21:23" ht="16.2" thickBot="1">
      <c r="U35" s="5" t="s">
        <v>29</v>
      </c>
      <c r="V35" s="144">
        <v>8.4900000000000003E-2</v>
      </c>
      <c r="W35" s="9" t="s">
        <v>30</v>
      </c>
    </row>
    <row r="36" spans="21:23" ht="15.6">
      <c r="U36" s="2"/>
      <c r="V36" s="2"/>
      <c r="W36" s="2"/>
    </row>
    <row r="37" spans="21:23" ht="16.2" thickBot="1">
      <c r="U37" s="5" t="s">
        <v>123</v>
      </c>
      <c r="V37" s="145">
        <v>0</v>
      </c>
      <c r="W37" s="9" t="s">
        <v>5</v>
      </c>
    </row>
    <row r="40" spans="21:23">
      <c r="U40" s="146"/>
    </row>
    <row r="81" spans="1:8">
      <c r="C81" s="129" t="s">
        <v>172</v>
      </c>
    </row>
    <row r="82" spans="1:8">
      <c r="E82" s="129" t="s">
        <v>173</v>
      </c>
      <c r="G82" s="129" t="s">
        <v>174</v>
      </c>
      <c r="H82" s="129" t="s">
        <v>22</v>
      </c>
    </row>
    <row r="83" spans="1:8">
      <c r="E83" s="129">
        <v>3.46</v>
      </c>
      <c r="G83" s="129">
        <v>14.5</v>
      </c>
      <c r="H83" s="129">
        <v>9</v>
      </c>
    </row>
    <row r="84" spans="1:8">
      <c r="E84" s="129">
        <v>5.46</v>
      </c>
      <c r="G84" s="129">
        <v>15.2</v>
      </c>
      <c r="H84" s="129">
        <v>8</v>
      </c>
    </row>
    <row r="85" spans="1:8">
      <c r="E85" s="129">
        <v>7.46</v>
      </c>
      <c r="G85" s="129">
        <v>15.8</v>
      </c>
      <c r="H85" s="129">
        <v>8</v>
      </c>
    </row>
    <row r="86" spans="1:8">
      <c r="E86" s="129">
        <v>9.4600000000000009</v>
      </c>
      <c r="G86" s="129">
        <v>16.5</v>
      </c>
      <c r="H86" s="129">
        <v>6</v>
      </c>
    </row>
    <row r="87" spans="1:8">
      <c r="E87" s="129">
        <v>11.46</v>
      </c>
      <c r="G87" s="129">
        <v>17</v>
      </c>
      <c r="H87" s="129">
        <v>6</v>
      </c>
    </row>
    <row r="90" spans="1:8">
      <c r="A90" s="129" t="s">
        <v>175</v>
      </c>
    </row>
    <row r="94" spans="1:8">
      <c r="C94" s="129" t="s">
        <v>176</v>
      </c>
      <c r="E94" s="129" t="s">
        <v>177</v>
      </c>
      <c r="G94" s="129" t="s">
        <v>174</v>
      </c>
      <c r="H94" s="129" t="s">
        <v>22</v>
      </c>
    </row>
    <row r="95" spans="1:8">
      <c r="E95" s="129">
        <v>10</v>
      </c>
      <c r="G95" s="129">
        <v>14.8</v>
      </c>
      <c r="H95" s="129">
        <v>6.78</v>
      </c>
    </row>
    <row r="96" spans="1:8">
      <c r="E96" s="129">
        <v>12</v>
      </c>
      <c r="G96" s="129">
        <v>15.1</v>
      </c>
      <c r="H96" s="129">
        <v>6.76</v>
      </c>
    </row>
    <row r="97" spans="5:5">
      <c r="E97" s="129">
        <v>15</v>
      </c>
    </row>
    <row r="98" spans="5:5">
      <c r="E98" s="129">
        <v>18</v>
      </c>
    </row>
    <row r="99" spans="5:5">
      <c r="E99" s="129">
        <v>20</v>
      </c>
    </row>
    <row r="113" spans="3:8">
      <c r="C113" s="129" t="s">
        <v>172</v>
      </c>
    </row>
    <row r="114" spans="3:8">
      <c r="E114" s="129" t="s">
        <v>173</v>
      </c>
      <c r="G114" s="129" t="s">
        <v>174</v>
      </c>
      <c r="H114" s="129" t="s">
        <v>22</v>
      </c>
    </row>
    <row r="115" spans="3:8">
      <c r="E115" s="129">
        <v>10</v>
      </c>
      <c r="G115" s="129">
        <v>14.3</v>
      </c>
      <c r="H115" s="129">
        <v>7</v>
      </c>
    </row>
    <row r="116" spans="3:8">
      <c r="E116" s="129">
        <v>12</v>
      </c>
      <c r="G116" s="129">
        <v>14.8</v>
      </c>
      <c r="H116" s="129">
        <v>7</v>
      </c>
    </row>
    <row r="117" spans="3:8">
      <c r="E117" s="129">
        <v>15</v>
      </c>
    </row>
    <row r="118" spans="3:8">
      <c r="E118" s="129">
        <v>18</v>
      </c>
    </row>
    <row r="119" spans="3:8">
      <c r="E119" s="129">
        <v>20</v>
      </c>
    </row>
  </sheetData>
  <mergeCells count="7">
    <mergeCell ref="U33:W33"/>
    <mergeCell ref="U2:W2"/>
    <mergeCell ref="U4:W4"/>
    <mergeCell ref="U10:W10"/>
    <mergeCell ref="U17:W17"/>
    <mergeCell ref="U22:W22"/>
    <mergeCell ref="U24:U2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899A8-DA14-4926-BF8D-52F874654403}">
  <sheetPr codeName="Tabelle5"/>
  <dimension ref="A1:W119"/>
  <sheetViews>
    <sheetView workbookViewId="0">
      <selection activeCell="AE39" sqref="AE39"/>
    </sheetView>
  </sheetViews>
  <sheetFormatPr baseColWidth="10" defaultColWidth="8" defaultRowHeight="14.4"/>
  <cols>
    <col min="1" max="1" width="18.3984375" style="129" bestFit="1" customWidth="1"/>
    <col min="2" max="2" width="10.3984375" style="129" customWidth="1"/>
    <col min="3" max="3" width="11.09765625" style="129" customWidth="1"/>
    <col min="4" max="4" width="8" style="129"/>
    <col min="5" max="5" width="9.19921875" style="129" customWidth="1"/>
    <col min="6" max="6" width="12" style="129" customWidth="1"/>
    <col min="7" max="7" width="19.09765625" style="129" customWidth="1"/>
    <col min="8" max="20" width="8" style="129"/>
    <col min="21" max="21" width="34" style="129" bestFit="1" customWidth="1"/>
    <col min="22" max="22" width="21" style="129" customWidth="1"/>
    <col min="23" max="23" width="10.796875" style="129" bestFit="1" customWidth="1"/>
    <col min="24" max="16384" width="8" style="129"/>
  </cols>
  <sheetData>
    <row r="1" spans="1:23">
      <c r="A1" s="130" t="s">
        <v>183</v>
      </c>
      <c r="B1" s="130" t="s">
        <v>178</v>
      </c>
      <c r="C1" s="130" t="s">
        <v>181</v>
      </c>
      <c r="D1" s="130" t="s">
        <v>22</v>
      </c>
      <c r="E1" s="149" t="s">
        <v>179</v>
      </c>
      <c r="F1" s="149" t="s">
        <v>180</v>
      </c>
    </row>
    <row r="2" spans="1:23" ht="15.6">
      <c r="A2" s="137">
        <v>0</v>
      </c>
      <c r="B2" s="131">
        <v>0.11491795808587542</v>
      </c>
      <c r="C2" s="131"/>
      <c r="D2" s="131">
        <v>-7.3213111955537258E-2</v>
      </c>
      <c r="E2" s="148">
        <f t="shared" ref="E2:E4" si="0">D2*100</f>
        <v>-7.3213111955537258</v>
      </c>
      <c r="F2" s="147">
        <f>B2*1000</f>
        <v>114.91795808587541</v>
      </c>
      <c r="U2" s="310" t="s">
        <v>59</v>
      </c>
      <c r="V2" s="310"/>
      <c r="W2" s="310"/>
    </row>
    <row r="3" spans="1:23" ht="15.6">
      <c r="A3" s="137">
        <v>0.02</v>
      </c>
      <c r="B3" s="131">
        <v>0.11974678890419099</v>
      </c>
      <c r="C3" s="131"/>
      <c r="D3" s="131">
        <v>-7.7094660065033738E-2</v>
      </c>
      <c r="E3" s="148">
        <f t="shared" si="0"/>
        <v>-7.7094660065033738</v>
      </c>
      <c r="F3" s="147">
        <f t="shared" ref="F3:F10" si="1">B3*1000</f>
        <v>119.74678890419099</v>
      </c>
      <c r="H3" s="146" t="s">
        <v>184</v>
      </c>
      <c r="U3"/>
      <c r="V3"/>
      <c r="W3"/>
    </row>
    <row r="4" spans="1:23" ht="16.2" thickBot="1">
      <c r="A4" s="137">
        <v>0.04</v>
      </c>
      <c r="B4" s="131">
        <v>0.12479223342497846</v>
      </c>
      <c r="C4" s="131"/>
      <c r="D4" s="131">
        <v>-8.1015161699551808E-2</v>
      </c>
      <c r="E4" s="148">
        <f t="shared" si="0"/>
        <v>-8.1015161699551808</v>
      </c>
      <c r="F4" s="147">
        <f t="shared" si="1"/>
        <v>124.79223342497846</v>
      </c>
      <c r="U4" s="296" t="s">
        <v>60</v>
      </c>
      <c r="V4" s="297"/>
      <c r="W4" s="298"/>
    </row>
    <row r="5" spans="1:23" ht="15.6">
      <c r="A5" s="137">
        <v>0.06</v>
      </c>
      <c r="B5" s="131">
        <v>0.1300524931944409</v>
      </c>
      <c r="C5" s="131"/>
      <c r="D5" s="131">
        <v>-8.496229662253485E-2</v>
      </c>
      <c r="E5" s="148">
        <f t="shared" ref="E5:E10" si="2">D5*100</f>
        <v>-8.4962296622534854</v>
      </c>
      <c r="F5" s="147">
        <f t="shared" si="1"/>
        <v>130.0524931944409</v>
      </c>
      <c r="U5"/>
      <c r="V5"/>
      <c r="W5"/>
    </row>
    <row r="6" spans="1:23" ht="15.6">
      <c r="A6" s="137">
        <v>0.08</v>
      </c>
      <c r="B6" s="131">
        <v>0.13552496489270563</v>
      </c>
      <c r="C6" s="131"/>
      <c r="D6" s="131">
        <v>-8.8924043917389839E-2</v>
      </c>
      <c r="E6" s="148">
        <f t="shared" si="2"/>
        <v>-8.8924043917389834</v>
      </c>
      <c r="F6" s="147">
        <f t="shared" si="1"/>
        <v>135.52496489270564</v>
      </c>
      <c r="U6" s="62" t="s">
        <v>43</v>
      </c>
      <c r="V6" s="138">
        <v>18</v>
      </c>
      <c r="W6" s="64" t="s">
        <v>33</v>
      </c>
    </row>
    <row r="7" spans="1:23" ht="15.6">
      <c r="A7" s="137">
        <v>0.1</v>
      </c>
      <c r="B7" s="131">
        <v>0.14120627844132264</v>
      </c>
      <c r="C7" s="131"/>
      <c r="D7" s="131">
        <v>-9.2888847033790189E-2</v>
      </c>
      <c r="E7" s="148">
        <f t="shared" si="2"/>
        <v>-9.2888847033790185</v>
      </c>
      <c r="F7" s="147">
        <f t="shared" si="1"/>
        <v>141.20627844132264</v>
      </c>
      <c r="U7" s="62" t="s">
        <v>53</v>
      </c>
      <c r="V7" s="139">
        <v>7.1408474576271183E-2</v>
      </c>
      <c r="W7" s="64" t="s">
        <v>3</v>
      </c>
    </row>
    <row r="8" spans="1:23" ht="16.2" thickBot="1">
      <c r="A8" s="137">
        <v>0.12</v>
      </c>
      <c r="B8" s="131">
        <v>0.14709234451912537</v>
      </c>
      <c r="C8" s="131"/>
      <c r="D8" s="131">
        <v>-9.684575494765546E-2</v>
      </c>
      <c r="E8" s="148">
        <f t="shared" si="2"/>
        <v>-9.6845754947655465</v>
      </c>
      <c r="F8" s="147">
        <f t="shared" si="1"/>
        <v>147.09234451912536</v>
      </c>
      <c r="U8" s="63" t="s">
        <v>129</v>
      </c>
      <c r="V8" s="140">
        <v>7.0000000000000007E-2</v>
      </c>
      <c r="W8" s="65" t="s">
        <v>3</v>
      </c>
    </row>
    <row r="9" spans="1:23" ht="15.6">
      <c r="A9" s="137">
        <v>0.14000000000000001</v>
      </c>
      <c r="B9" s="131">
        <v>0.15317841022810708</v>
      </c>
      <c r="C9" s="131"/>
      <c r="D9" s="131">
        <v>-0.10078453680663157</v>
      </c>
      <c r="E9" s="148">
        <f t="shared" si="2"/>
        <v>-10.078453680663157</v>
      </c>
      <c r="F9" s="147">
        <f t="shared" si="1"/>
        <v>153.17841022810708</v>
      </c>
      <c r="U9"/>
      <c r="V9"/>
      <c r="W9"/>
    </row>
    <row r="10" spans="1:23" ht="16.2" thickBot="1">
      <c r="A10" s="137">
        <v>0.16</v>
      </c>
      <c r="B10" s="131">
        <v>0.15945912149143895</v>
      </c>
      <c r="C10" s="131"/>
      <c r="D10" s="131">
        <v>-0.10469576898526856</v>
      </c>
      <c r="E10" s="148">
        <f t="shared" si="2"/>
        <v>-10.469576898526856</v>
      </c>
      <c r="F10" s="147">
        <f t="shared" si="1"/>
        <v>159.45912149143896</v>
      </c>
      <c r="U10" s="296" t="s">
        <v>61</v>
      </c>
      <c r="V10" s="297"/>
      <c r="W10" s="298"/>
    </row>
    <row r="11" spans="1:23" ht="15.6">
      <c r="U11"/>
      <c r="V11"/>
      <c r="W11"/>
    </row>
    <row r="12" spans="1:23" ht="15.6">
      <c r="U12" s="62" t="s">
        <v>16</v>
      </c>
      <c r="V12" s="141">
        <v>1500</v>
      </c>
      <c r="W12" s="64" t="s">
        <v>15</v>
      </c>
    </row>
    <row r="13" spans="1:23" ht="15.6">
      <c r="U13" s="62" t="s">
        <v>17</v>
      </c>
      <c r="V13" s="141">
        <v>1</v>
      </c>
      <c r="W13" s="64" t="s">
        <v>18</v>
      </c>
    </row>
    <row r="14" spans="1:23" ht="15.6">
      <c r="U14" s="62" t="s">
        <v>19</v>
      </c>
      <c r="V14" s="29">
        <v>1500</v>
      </c>
      <c r="W14" s="64" t="s">
        <v>1</v>
      </c>
    </row>
    <row r="15" spans="1:23" ht="16.2" thickBot="1">
      <c r="U15" s="63" t="s">
        <v>2</v>
      </c>
      <c r="V15" s="142">
        <v>3.0000000000000001E-3</v>
      </c>
      <c r="W15" s="65" t="s">
        <v>3</v>
      </c>
    </row>
    <row r="16" spans="1:23" ht="15.6">
      <c r="U16"/>
      <c r="V16"/>
      <c r="W16"/>
    </row>
    <row r="17" spans="5:23" ht="16.2" thickBot="1">
      <c r="U17" s="296" t="s">
        <v>62</v>
      </c>
      <c r="V17" s="297"/>
      <c r="W17" s="298"/>
    </row>
    <row r="18" spans="5:23" ht="15.6">
      <c r="U18"/>
      <c r="V18"/>
      <c r="W18"/>
    </row>
    <row r="19" spans="5:23" ht="15.6">
      <c r="U19" s="50" t="s">
        <v>21</v>
      </c>
      <c r="V19" s="32">
        <v>32</v>
      </c>
      <c r="W19" s="31" t="s">
        <v>5</v>
      </c>
    </row>
    <row r="20" spans="5:23" ht="16.2" thickBot="1">
      <c r="U20" s="5" t="s">
        <v>86</v>
      </c>
      <c r="V20" s="140">
        <v>0.02</v>
      </c>
      <c r="W20" s="9" t="s">
        <v>3</v>
      </c>
    </row>
    <row r="21" spans="5:23" ht="15.6">
      <c r="U21"/>
      <c r="V21"/>
      <c r="W21"/>
    </row>
    <row r="22" spans="5:23" ht="16.2" thickBot="1">
      <c r="U22" s="296" t="s">
        <v>63</v>
      </c>
      <c r="V22" s="297"/>
      <c r="W22" s="298"/>
    </row>
    <row r="23" spans="5:23" ht="15.6">
      <c r="E23" s="132"/>
      <c r="F23" s="132"/>
      <c r="G23" s="132"/>
      <c r="H23" s="132"/>
      <c r="U23"/>
      <c r="V23"/>
      <c r="W23"/>
    </row>
    <row r="24" spans="5:23" ht="15.6">
      <c r="U24" s="299" t="s">
        <v>4</v>
      </c>
      <c r="V24" s="143">
        <v>1600</v>
      </c>
      <c r="W24" s="8" t="s">
        <v>20</v>
      </c>
    </row>
    <row r="25" spans="5:23" ht="15.6">
      <c r="U25" s="300"/>
      <c r="V25" s="32">
        <v>1600</v>
      </c>
      <c r="W25" s="31" t="s">
        <v>5</v>
      </c>
    </row>
    <row r="26" spans="5:23" ht="15.6">
      <c r="U26" s="4" t="s">
        <v>46</v>
      </c>
      <c r="V26" s="139">
        <v>0.2</v>
      </c>
      <c r="W26" s="8" t="s">
        <v>3</v>
      </c>
    </row>
    <row r="27" spans="5:23" ht="15.6">
      <c r="U27" s="4" t="s">
        <v>47</v>
      </c>
      <c r="V27" s="52">
        <v>0.8</v>
      </c>
      <c r="W27" s="8" t="s">
        <v>3</v>
      </c>
    </row>
    <row r="28" spans="5:23" ht="15.6">
      <c r="H28" s="189" t="str">
        <f>CONCATENATE("@ ",'Inputs&amp;Results'!C27*100," percent debt financing")</f>
        <v>@ 80 percent debt financing</v>
      </c>
      <c r="I28" s="190"/>
      <c r="J28" s="190"/>
      <c r="U28" s="4" t="s">
        <v>48</v>
      </c>
      <c r="V28" s="139">
        <v>7.0000000000000007E-2</v>
      </c>
      <c r="W28" s="8" t="s">
        <v>3</v>
      </c>
    </row>
    <row r="29" spans="5:23" ht="15.6">
      <c r="H29" s="191">
        <v>7.0000000000000007E-2</v>
      </c>
      <c r="I29" s="192" t="s">
        <v>247</v>
      </c>
      <c r="J29" s="190"/>
      <c r="U29" s="4" t="s">
        <v>49</v>
      </c>
      <c r="V29" s="136" t="s">
        <v>182</v>
      </c>
      <c r="W29" s="8" t="s">
        <v>3</v>
      </c>
    </row>
    <row r="30" spans="5:23" ht="15.6">
      <c r="U30" s="4" t="s">
        <v>50</v>
      </c>
      <c r="V30" s="139">
        <v>0.15</v>
      </c>
      <c r="W30" s="8" t="s">
        <v>3</v>
      </c>
    </row>
    <row r="31" spans="5:23" ht="16.2" thickBot="1">
      <c r="U31" s="5" t="s">
        <v>51</v>
      </c>
      <c r="V31" s="54">
        <v>0.25</v>
      </c>
      <c r="W31" s="9"/>
    </row>
    <row r="32" spans="5:23" ht="15.6">
      <c r="U32"/>
      <c r="V32"/>
      <c r="W32"/>
    </row>
    <row r="33" spans="21:23" ht="16.2" thickBot="1">
      <c r="U33" s="296" t="s">
        <v>64</v>
      </c>
      <c r="V33" s="297"/>
      <c r="W33" s="298"/>
    </row>
    <row r="34" spans="21:23" ht="15.6">
      <c r="U34"/>
      <c r="V34"/>
      <c r="W34"/>
    </row>
    <row r="35" spans="21:23" ht="16.2" thickBot="1">
      <c r="U35" s="5" t="s">
        <v>29</v>
      </c>
      <c r="V35" s="144">
        <v>8.4900000000000003E-2</v>
      </c>
      <c r="W35" s="9" t="s">
        <v>30</v>
      </c>
    </row>
    <row r="36" spans="21:23" ht="15.6">
      <c r="U36" s="2"/>
      <c r="V36" s="2"/>
      <c r="W36" s="2"/>
    </row>
    <row r="37" spans="21:23" ht="16.2" thickBot="1">
      <c r="U37" s="5" t="s">
        <v>123</v>
      </c>
      <c r="V37" s="145">
        <v>0</v>
      </c>
      <c r="W37" s="9" t="s">
        <v>5</v>
      </c>
    </row>
    <row r="39" spans="21:23">
      <c r="U39" s="146"/>
    </row>
    <row r="81" spans="1:8">
      <c r="C81" s="129" t="s">
        <v>172</v>
      </c>
    </row>
    <row r="82" spans="1:8">
      <c r="E82" s="129" t="s">
        <v>173</v>
      </c>
      <c r="G82" s="129" t="s">
        <v>174</v>
      </c>
      <c r="H82" s="129" t="s">
        <v>22</v>
      </c>
    </row>
    <row r="83" spans="1:8">
      <c r="E83" s="129">
        <v>3.46</v>
      </c>
      <c r="G83" s="129">
        <v>14.5</v>
      </c>
      <c r="H83" s="129">
        <v>9</v>
      </c>
    </row>
    <row r="84" spans="1:8">
      <c r="E84" s="129">
        <v>5.46</v>
      </c>
      <c r="G84" s="129">
        <v>15.2</v>
      </c>
      <c r="H84" s="129">
        <v>8</v>
      </c>
    </row>
    <row r="85" spans="1:8">
      <c r="E85" s="129">
        <v>7.46</v>
      </c>
      <c r="G85" s="129">
        <v>15.8</v>
      </c>
      <c r="H85" s="129">
        <v>8</v>
      </c>
    </row>
    <row r="86" spans="1:8">
      <c r="E86" s="129">
        <v>9.4600000000000009</v>
      </c>
      <c r="G86" s="129">
        <v>16.5</v>
      </c>
      <c r="H86" s="129">
        <v>6</v>
      </c>
    </row>
    <row r="87" spans="1:8">
      <c r="E87" s="129">
        <v>11.46</v>
      </c>
      <c r="G87" s="129">
        <v>17</v>
      </c>
      <c r="H87" s="129">
        <v>6</v>
      </c>
    </row>
    <row r="90" spans="1:8">
      <c r="A90" s="129" t="s">
        <v>175</v>
      </c>
    </row>
    <row r="94" spans="1:8">
      <c r="C94" s="129" t="s">
        <v>176</v>
      </c>
      <c r="E94" s="129" t="s">
        <v>177</v>
      </c>
      <c r="G94" s="129" t="s">
        <v>174</v>
      </c>
      <c r="H94" s="129" t="s">
        <v>22</v>
      </c>
    </row>
    <row r="95" spans="1:8">
      <c r="E95" s="129">
        <v>10</v>
      </c>
      <c r="G95" s="129">
        <v>14.8</v>
      </c>
      <c r="H95" s="129">
        <v>6.78</v>
      </c>
    </row>
    <row r="96" spans="1:8">
      <c r="E96" s="129">
        <v>12</v>
      </c>
      <c r="G96" s="129">
        <v>15.1</v>
      </c>
      <c r="H96" s="129">
        <v>6.76</v>
      </c>
    </row>
    <row r="97" spans="5:5">
      <c r="E97" s="129">
        <v>15</v>
      </c>
    </row>
    <row r="98" spans="5:5">
      <c r="E98" s="129">
        <v>18</v>
      </c>
    </row>
    <row r="99" spans="5:5">
      <c r="E99" s="129">
        <v>20</v>
      </c>
    </row>
    <row r="113" spans="3:8">
      <c r="C113" s="129" t="s">
        <v>172</v>
      </c>
    </row>
    <row r="114" spans="3:8">
      <c r="E114" s="129" t="s">
        <v>173</v>
      </c>
      <c r="G114" s="129" t="s">
        <v>174</v>
      </c>
      <c r="H114" s="129" t="s">
        <v>22</v>
      </c>
    </row>
    <row r="115" spans="3:8">
      <c r="E115" s="129">
        <v>10</v>
      </c>
      <c r="G115" s="129">
        <v>14.3</v>
      </c>
      <c r="H115" s="129">
        <v>7</v>
      </c>
    </row>
    <row r="116" spans="3:8">
      <c r="E116" s="129">
        <v>12</v>
      </c>
      <c r="G116" s="129">
        <v>14.8</v>
      </c>
      <c r="H116" s="129">
        <v>7</v>
      </c>
    </row>
    <row r="117" spans="3:8">
      <c r="E117" s="129">
        <v>15</v>
      </c>
    </row>
    <row r="118" spans="3:8">
      <c r="E118" s="129">
        <v>18</v>
      </c>
    </row>
    <row r="119" spans="3:8">
      <c r="E119" s="129">
        <v>20</v>
      </c>
    </row>
  </sheetData>
  <mergeCells count="7">
    <mergeCell ref="U33:W33"/>
    <mergeCell ref="U2:W2"/>
    <mergeCell ref="U4:W4"/>
    <mergeCell ref="U10:W10"/>
    <mergeCell ref="U17:W17"/>
    <mergeCell ref="U22:W22"/>
    <mergeCell ref="U24:U25"/>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80781-4043-FE45-AB9F-0792E032DA1B}">
  <sheetPr codeName="Hoja5"/>
  <dimension ref="B2:Y45"/>
  <sheetViews>
    <sheetView showGridLines="0" zoomScale="110" zoomScaleNormal="110" workbookViewId="0">
      <selection activeCell="N18" sqref="N18"/>
    </sheetView>
  </sheetViews>
  <sheetFormatPr baseColWidth="10" defaultColWidth="11.19921875" defaultRowHeight="15.6"/>
  <cols>
    <col min="1" max="1" width="2.796875" customWidth="1"/>
    <col min="2" max="2" width="11" customWidth="1"/>
    <col min="3" max="3" width="30.796875" customWidth="1"/>
    <col min="4" max="4" width="22.296875" bestFit="1" customWidth="1"/>
    <col min="5" max="5" width="23.796875" bestFit="1" customWidth="1"/>
    <col min="6" max="6" width="14.296875" customWidth="1"/>
    <col min="7" max="7" width="14" bestFit="1" customWidth="1"/>
    <col min="8" max="8" width="15.296875" customWidth="1"/>
    <col min="9" max="10" width="13.796875" customWidth="1"/>
    <col min="11" max="13" width="13" customWidth="1"/>
    <col min="14" max="14" width="13.296875" customWidth="1"/>
    <col min="15" max="25" width="12.19921875" bestFit="1" customWidth="1"/>
  </cols>
  <sheetData>
    <row r="2" spans="2:10" ht="21" customHeight="1">
      <c r="B2" s="315" t="s">
        <v>0</v>
      </c>
      <c r="C2" s="315"/>
      <c r="D2" s="315"/>
      <c r="E2" s="315"/>
      <c r="F2" s="13"/>
    </row>
    <row r="3" spans="2:10">
      <c r="J3" t="s">
        <v>42</v>
      </c>
    </row>
    <row r="4" spans="2:10" ht="19.05" customHeight="1">
      <c r="B4" s="316" t="s">
        <v>14</v>
      </c>
      <c r="C4" s="28" t="s">
        <v>16</v>
      </c>
      <c r="D4" s="6">
        <v>1500</v>
      </c>
      <c r="E4" s="8" t="s">
        <v>15</v>
      </c>
      <c r="G4" s="42" t="s">
        <v>39</v>
      </c>
    </row>
    <row r="5" spans="2:10" ht="19.05" customHeight="1">
      <c r="B5" s="316"/>
      <c r="C5" s="28" t="s">
        <v>17</v>
      </c>
      <c r="D5" s="6">
        <v>1</v>
      </c>
      <c r="E5" s="8" t="s">
        <v>18</v>
      </c>
      <c r="G5" t="s">
        <v>38</v>
      </c>
    </row>
    <row r="6" spans="2:10" ht="19.05" customHeight="1">
      <c r="B6" s="316"/>
      <c r="C6" s="28" t="s">
        <v>19</v>
      </c>
      <c r="D6" s="29">
        <f>+D5*D4</f>
        <v>1500</v>
      </c>
      <c r="E6" s="8" t="s">
        <v>1</v>
      </c>
      <c r="G6" t="s">
        <v>37</v>
      </c>
    </row>
    <row r="7" spans="2:10" ht="16.2" thickBot="1">
      <c r="B7" s="317"/>
      <c r="C7" s="5" t="s">
        <v>2</v>
      </c>
      <c r="D7" s="27">
        <v>3.0000000000000001E-3</v>
      </c>
      <c r="E7" s="9" t="s">
        <v>3</v>
      </c>
      <c r="G7" t="s">
        <v>40</v>
      </c>
    </row>
    <row r="8" spans="2:10">
      <c r="B8" s="35"/>
      <c r="C8" s="2"/>
      <c r="D8" s="36"/>
      <c r="E8" s="2"/>
    </row>
    <row r="9" spans="2:10" ht="18" customHeight="1" thickBot="1">
      <c r="B9" s="26" t="s">
        <v>28</v>
      </c>
      <c r="C9" s="5" t="s">
        <v>29</v>
      </c>
      <c r="D9" s="12">
        <v>8.7999999999999995E-2</v>
      </c>
      <c r="E9" s="9" t="s">
        <v>30</v>
      </c>
    </row>
    <row r="10" spans="2:10">
      <c r="B10" s="35"/>
      <c r="C10" s="2"/>
      <c r="D10" s="36"/>
      <c r="E10" s="2"/>
    </row>
    <row r="11" spans="2:10">
      <c r="B11" s="318" t="s">
        <v>9</v>
      </c>
      <c r="C11" s="299" t="s">
        <v>4</v>
      </c>
      <c r="D11" s="30">
        <v>1000</v>
      </c>
      <c r="E11" s="8" t="s">
        <v>20</v>
      </c>
    </row>
    <row r="12" spans="2:10">
      <c r="B12" s="318"/>
      <c r="C12" s="300"/>
      <c r="D12" s="32">
        <f>+D11*D5</f>
        <v>1000</v>
      </c>
      <c r="E12" s="31" t="s">
        <v>5</v>
      </c>
    </row>
    <row r="13" spans="2:10" ht="16.2" thickBot="1">
      <c r="B13" s="319"/>
      <c r="C13" s="5" t="s">
        <v>11</v>
      </c>
      <c r="D13" s="7">
        <v>0.08</v>
      </c>
      <c r="E13" s="9" t="s">
        <v>3</v>
      </c>
    </row>
    <row r="14" spans="2:10">
      <c r="C14" s="2"/>
      <c r="D14" s="3"/>
      <c r="E14" s="2"/>
    </row>
    <row r="15" spans="2:10" ht="16.2" thickBot="1">
      <c r="B15" s="11" t="s">
        <v>6</v>
      </c>
      <c r="C15" s="5" t="s">
        <v>21</v>
      </c>
      <c r="D15" s="14">
        <f>0.015*D12</f>
        <v>15</v>
      </c>
      <c r="E15" s="9" t="s">
        <v>5</v>
      </c>
      <c r="F15" t="s">
        <v>41</v>
      </c>
    </row>
    <row r="17" spans="2:25">
      <c r="B17" s="316" t="s">
        <v>24</v>
      </c>
      <c r="C17" s="4" t="s">
        <v>13</v>
      </c>
      <c r="D17" s="33">
        <f>+Calculations!C60</f>
        <v>0.13276239572523174</v>
      </c>
      <c r="E17" s="8" t="s">
        <v>7</v>
      </c>
    </row>
    <row r="18" spans="2:25">
      <c r="B18" s="316"/>
      <c r="C18" s="4" t="s">
        <v>36</v>
      </c>
      <c r="D18" s="40">
        <f>SUM(Calculations!D75:D75)</f>
        <v>0</v>
      </c>
      <c r="E18" s="8" t="s">
        <v>33</v>
      </c>
    </row>
    <row r="19" spans="2:25">
      <c r="B19" s="316"/>
      <c r="C19" s="4" t="s">
        <v>22</v>
      </c>
      <c r="D19" s="39">
        <f>IRR(G24:G44)</f>
        <v>9.6193300770799794E-2</v>
      </c>
      <c r="E19" s="8" t="s">
        <v>3</v>
      </c>
    </row>
    <row r="20" spans="2:25" ht="16.2" thickBot="1">
      <c r="B20" s="317"/>
      <c r="C20" s="5" t="s">
        <v>23</v>
      </c>
      <c r="D20" s="14">
        <f>NPV(D13,G25:G44)+G24</f>
        <v>121.77949125488476</v>
      </c>
      <c r="E20" s="9" t="s">
        <v>34</v>
      </c>
    </row>
    <row r="21" spans="2:25">
      <c r="C21" s="2"/>
      <c r="E21" s="2"/>
    </row>
    <row r="22" spans="2:25" ht="31.05" customHeight="1">
      <c r="B22" s="313" t="s">
        <v>8</v>
      </c>
      <c r="C22" s="22" t="s">
        <v>9</v>
      </c>
      <c r="D22" s="23" t="s">
        <v>10</v>
      </c>
      <c r="E22" s="23" t="s">
        <v>6</v>
      </c>
      <c r="F22" s="23" t="s">
        <v>28</v>
      </c>
      <c r="G22" s="23" t="s">
        <v>31</v>
      </c>
      <c r="H22" s="24" t="s">
        <v>32</v>
      </c>
      <c r="P22" s="1"/>
      <c r="Q22" s="1"/>
      <c r="R22" s="1"/>
      <c r="S22" s="1"/>
      <c r="T22" s="1"/>
      <c r="U22" s="1"/>
      <c r="V22" s="1"/>
      <c r="W22" s="1"/>
      <c r="X22" s="1"/>
      <c r="Y22" s="1"/>
    </row>
    <row r="23" spans="2:25">
      <c r="B23" s="314"/>
      <c r="C23" s="25" t="s">
        <v>5</v>
      </c>
      <c r="D23" s="25" t="s">
        <v>1</v>
      </c>
      <c r="E23" s="25" t="s">
        <v>5</v>
      </c>
      <c r="F23" s="25" t="s">
        <v>5</v>
      </c>
      <c r="G23" s="311" t="s">
        <v>5</v>
      </c>
      <c r="H23" s="312"/>
      <c r="P23" s="1"/>
      <c r="Q23" s="1"/>
      <c r="R23" s="1"/>
      <c r="S23" s="1"/>
      <c r="T23" s="1"/>
      <c r="U23" s="1"/>
      <c r="V23" s="1"/>
      <c r="W23" s="1"/>
      <c r="X23" s="1"/>
      <c r="Y23" s="1"/>
    </row>
    <row r="24" spans="2:25">
      <c r="B24" s="10">
        <v>0</v>
      </c>
      <c r="C24" s="37">
        <f>+-D12</f>
        <v>-1000</v>
      </c>
      <c r="D24" s="16">
        <v>0</v>
      </c>
      <c r="E24" s="15">
        <f>-IF(D24&gt;0,+$D$15,0)</f>
        <v>0</v>
      </c>
      <c r="F24" s="15">
        <f>+IF(D24&gt;0,D24*$D$9,0)</f>
        <v>0</v>
      </c>
      <c r="G24" s="37">
        <f>+SUM(C24,E24,F24)</f>
        <v>-1000</v>
      </c>
      <c r="H24" s="17">
        <f>+G24</f>
        <v>-1000</v>
      </c>
    </row>
    <row r="25" spans="2:25">
      <c r="B25" s="10">
        <f t="shared" ref="B25:B44" si="0">+B24+1</f>
        <v>1</v>
      </c>
      <c r="C25" s="18"/>
      <c r="D25" s="16">
        <f>+D6</f>
        <v>1500</v>
      </c>
      <c r="E25" s="37">
        <f>-IF(D25&gt;0,+$D$15,0)</f>
        <v>-15</v>
      </c>
      <c r="F25" s="15">
        <f t="shared" ref="F25:F44" si="1">+IF(D25&gt;0,D25*$D$9,0)</f>
        <v>132</v>
      </c>
      <c r="G25" s="15">
        <f t="shared" ref="G25:G44" si="2">+SUM(C25,E25,F25)</f>
        <v>117</v>
      </c>
      <c r="H25" s="17">
        <f>+H24+G25</f>
        <v>-883</v>
      </c>
    </row>
    <row r="26" spans="2:25">
      <c r="B26" s="10">
        <f t="shared" si="0"/>
        <v>2</v>
      </c>
      <c r="C26" s="18"/>
      <c r="D26" s="16">
        <f t="shared" ref="D26:D44" si="3">+D25*(1-$D$7)</f>
        <v>1495.5</v>
      </c>
      <c r="E26" s="37">
        <f t="shared" ref="E26:E44" si="4">-IF(D26&gt;0,+$D$15,0)</f>
        <v>-15</v>
      </c>
      <c r="F26" s="15">
        <f t="shared" si="1"/>
        <v>131.60399999999998</v>
      </c>
      <c r="G26" s="15">
        <f t="shared" si="2"/>
        <v>116.60399999999998</v>
      </c>
      <c r="H26" s="17">
        <f t="shared" ref="H26:H44" si="5">+H25+G26</f>
        <v>-766.39599999999996</v>
      </c>
    </row>
    <row r="27" spans="2:25">
      <c r="B27" s="10">
        <f t="shared" si="0"/>
        <v>3</v>
      </c>
      <c r="C27" s="4"/>
      <c r="D27" s="16">
        <f t="shared" si="3"/>
        <v>1491.0135</v>
      </c>
      <c r="E27" s="37">
        <f t="shared" si="4"/>
        <v>-15</v>
      </c>
      <c r="F27" s="15">
        <f t="shared" si="1"/>
        <v>131.20918799999998</v>
      </c>
      <c r="G27" s="15">
        <f t="shared" si="2"/>
        <v>116.20918799999998</v>
      </c>
      <c r="H27" s="17">
        <f t="shared" si="5"/>
        <v>-650.18681199999992</v>
      </c>
    </row>
    <row r="28" spans="2:25">
      <c r="B28" s="10">
        <f t="shared" si="0"/>
        <v>4</v>
      </c>
      <c r="C28" s="4"/>
      <c r="D28" s="16">
        <f t="shared" si="3"/>
        <v>1486.5404595</v>
      </c>
      <c r="E28" s="37">
        <f t="shared" si="4"/>
        <v>-15</v>
      </c>
      <c r="F28" s="15">
        <f t="shared" si="1"/>
        <v>130.815560436</v>
      </c>
      <c r="G28" s="15">
        <f t="shared" si="2"/>
        <v>115.815560436</v>
      </c>
      <c r="H28" s="17">
        <f t="shared" si="5"/>
        <v>-534.37125156399998</v>
      </c>
    </row>
    <row r="29" spans="2:25">
      <c r="B29" s="10">
        <f t="shared" si="0"/>
        <v>5</v>
      </c>
      <c r="C29" s="4"/>
      <c r="D29" s="16">
        <f t="shared" si="3"/>
        <v>1482.0808381214999</v>
      </c>
      <c r="E29" s="37">
        <f t="shared" si="4"/>
        <v>-15</v>
      </c>
      <c r="F29" s="15">
        <f t="shared" si="1"/>
        <v>130.423113754692</v>
      </c>
      <c r="G29" s="15">
        <f t="shared" si="2"/>
        <v>115.423113754692</v>
      </c>
      <c r="H29" s="17">
        <f t="shared" si="5"/>
        <v>-418.94813780930798</v>
      </c>
    </row>
    <row r="30" spans="2:25">
      <c r="B30" s="10">
        <f t="shared" si="0"/>
        <v>6</v>
      </c>
      <c r="C30" s="4"/>
      <c r="D30" s="16">
        <f t="shared" si="3"/>
        <v>1477.6345956071355</v>
      </c>
      <c r="E30" s="37">
        <f t="shared" si="4"/>
        <v>-15</v>
      </c>
      <c r="F30" s="15">
        <f t="shared" si="1"/>
        <v>130.0318444134279</v>
      </c>
      <c r="G30" s="15">
        <f t="shared" si="2"/>
        <v>115.0318444134279</v>
      </c>
      <c r="H30" s="17">
        <f t="shared" si="5"/>
        <v>-303.91629339588007</v>
      </c>
    </row>
    <row r="31" spans="2:25">
      <c r="B31" s="10">
        <f t="shared" si="0"/>
        <v>7</v>
      </c>
      <c r="C31" s="4"/>
      <c r="D31" s="16">
        <f t="shared" si="3"/>
        <v>1473.201691820314</v>
      </c>
      <c r="E31" s="37">
        <f t="shared" si="4"/>
        <v>-15</v>
      </c>
      <c r="F31" s="15">
        <f t="shared" si="1"/>
        <v>129.64174888018763</v>
      </c>
      <c r="G31" s="15">
        <f t="shared" si="2"/>
        <v>114.64174888018763</v>
      </c>
      <c r="H31" s="17">
        <f t="shared" si="5"/>
        <v>-189.27454451569244</v>
      </c>
    </row>
    <row r="32" spans="2:25">
      <c r="B32" s="10">
        <f t="shared" si="0"/>
        <v>8</v>
      </c>
      <c r="C32" s="4"/>
      <c r="D32" s="16">
        <f t="shared" si="3"/>
        <v>1468.7820867448529</v>
      </c>
      <c r="E32" s="37">
        <f t="shared" si="4"/>
        <v>-15</v>
      </c>
      <c r="F32" s="15">
        <f t="shared" si="1"/>
        <v>129.25282363354705</v>
      </c>
      <c r="G32" s="15">
        <f t="shared" si="2"/>
        <v>114.25282363354705</v>
      </c>
      <c r="H32" s="17">
        <f t="shared" si="5"/>
        <v>-75.021720882145388</v>
      </c>
    </row>
    <row r="33" spans="2:8">
      <c r="B33" s="10">
        <f t="shared" si="0"/>
        <v>9</v>
      </c>
      <c r="C33" s="4"/>
      <c r="D33" s="16">
        <f t="shared" si="3"/>
        <v>1464.3757404846183</v>
      </c>
      <c r="E33" s="37">
        <f t="shared" si="4"/>
        <v>-15</v>
      </c>
      <c r="F33" s="15">
        <f t="shared" si="1"/>
        <v>128.8650651626464</v>
      </c>
      <c r="G33" s="15">
        <f t="shared" si="2"/>
        <v>113.8650651626464</v>
      </c>
      <c r="H33" s="17">
        <f t="shared" si="5"/>
        <v>38.843344280501015</v>
      </c>
    </row>
    <row r="34" spans="2:8">
      <c r="B34" s="10">
        <f t="shared" si="0"/>
        <v>10</v>
      </c>
      <c r="C34" s="4"/>
      <c r="D34" s="16">
        <f t="shared" si="3"/>
        <v>1459.9826132631645</v>
      </c>
      <c r="E34" s="37">
        <f t="shared" si="4"/>
        <v>-15</v>
      </c>
      <c r="F34" s="15">
        <f t="shared" si="1"/>
        <v>128.47846996715847</v>
      </c>
      <c r="G34" s="15">
        <f t="shared" si="2"/>
        <v>113.47846996715847</v>
      </c>
      <c r="H34" s="17">
        <f t="shared" si="5"/>
        <v>152.32181424765949</v>
      </c>
    </row>
    <row r="35" spans="2:8">
      <c r="B35" s="10">
        <f t="shared" si="0"/>
        <v>11</v>
      </c>
      <c r="C35" s="4"/>
      <c r="D35" s="16">
        <f t="shared" si="3"/>
        <v>1455.6026654233749</v>
      </c>
      <c r="E35" s="37">
        <f t="shared" si="4"/>
        <v>-15</v>
      </c>
      <c r="F35" s="15">
        <f t="shared" si="1"/>
        <v>128.09303455725697</v>
      </c>
      <c r="G35" s="15">
        <f t="shared" si="2"/>
        <v>113.09303455725697</v>
      </c>
      <c r="H35" s="17">
        <f t="shared" si="5"/>
        <v>265.41484880491646</v>
      </c>
    </row>
    <row r="36" spans="2:8">
      <c r="B36" s="10">
        <f t="shared" si="0"/>
        <v>12</v>
      </c>
      <c r="C36" s="4"/>
      <c r="D36" s="16">
        <f t="shared" si="3"/>
        <v>1451.2358574271047</v>
      </c>
      <c r="E36" s="37">
        <f t="shared" si="4"/>
        <v>-15</v>
      </c>
      <c r="F36" s="15">
        <f t="shared" si="1"/>
        <v>127.70875545358521</v>
      </c>
      <c r="G36" s="15">
        <f t="shared" si="2"/>
        <v>112.70875545358521</v>
      </c>
      <c r="H36" s="17">
        <f t="shared" si="5"/>
        <v>378.1236042585017</v>
      </c>
    </row>
    <row r="37" spans="2:8">
      <c r="B37" s="10">
        <f t="shared" si="0"/>
        <v>13</v>
      </c>
      <c r="C37" s="4"/>
      <c r="D37" s="16">
        <f t="shared" si="3"/>
        <v>1446.8821498548234</v>
      </c>
      <c r="E37" s="37">
        <f t="shared" si="4"/>
        <v>-15</v>
      </c>
      <c r="F37" s="15">
        <f t="shared" si="1"/>
        <v>127.32562918722445</v>
      </c>
      <c r="G37" s="15">
        <f t="shared" si="2"/>
        <v>112.32562918722445</v>
      </c>
      <c r="H37" s="17">
        <f t="shared" si="5"/>
        <v>490.44923344572612</v>
      </c>
    </row>
    <row r="38" spans="2:8">
      <c r="B38" s="10">
        <f t="shared" si="0"/>
        <v>14</v>
      </c>
      <c r="C38" s="4"/>
      <c r="D38" s="16">
        <f t="shared" si="3"/>
        <v>1442.5415034052589</v>
      </c>
      <c r="E38" s="37">
        <f t="shared" si="4"/>
        <v>-15</v>
      </c>
      <c r="F38" s="15">
        <f t="shared" si="1"/>
        <v>126.94365229966277</v>
      </c>
      <c r="G38" s="15">
        <f t="shared" si="2"/>
        <v>111.94365229966277</v>
      </c>
      <c r="H38" s="17">
        <f t="shared" si="5"/>
        <v>602.39288574538887</v>
      </c>
    </row>
    <row r="39" spans="2:8">
      <c r="B39" s="55">
        <f t="shared" si="0"/>
        <v>15</v>
      </c>
      <c r="C39" s="56"/>
      <c r="D39" s="57">
        <f t="shared" si="3"/>
        <v>1438.2138788950431</v>
      </c>
      <c r="E39" s="58">
        <f t="shared" si="4"/>
        <v>-15</v>
      </c>
      <c r="F39" s="59">
        <f t="shared" si="1"/>
        <v>126.56282134276378</v>
      </c>
      <c r="G39" s="59">
        <f t="shared" si="2"/>
        <v>111.56282134276378</v>
      </c>
      <c r="H39" s="60">
        <f t="shared" si="5"/>
        <v>713.95570708815262</v>
      </c>
    </row>
    <row r="40" spans="2:8">
      <c r="B40" s="10">
        <f t="shared" si="0"/>
        <v>16</v>
      </c>
      <c r="C40" s="4"/>
      <c r="D40" s="16">
        <f t="shared" si="3"/>
        <v>1433.899237258358</v>
      </c>
      <c r="E40" s="37">
        <f t="shared" si="4"/>
        <v>-15</v>
      </c>
      <c r="F40" s="15">
        <f t="shared" si="1"/>
        <v>126.18313287873549</v>
      </c>
      <c r="G40" s="15">
        <f t="shared" si="2"/>
        <v>111.18313287873549</v>
      </c>
      <c r="H40" s="17">
        <f t="shared" si="5"/>
        <v>825.1388399668881</v>
      </c>
    </row>
    <row r="41" spans="2:8">
      <c r="B41" s="10">
        <f t="shared" si="0"/>
        <v>17</v>
      </c>
      <c r="C41" s="4"/>
      <c r="D41" s="16">
        <f t="shared" si="3"/>
        <v>1429.597539546583</v>
      </c>
      <c r="E41" s="37">
        <f t="shared" si="4"/>
        <v>-15</v>
      </c>
      <c r="F41" s="15">
        <f t="shared" si="1"/>
        <v>125.8045834800993</v>
      </c>
      <c r="G41" s="15">
        <f t="shared" si="2"/>
        <v>110.8045834800993</v>
      </c>
      <c r="H41" s="17">
        <f t="shared" si="5"/>
        <v>935.94342344698737</v>
      </c>
    </row>
    <row r="42" spans="2:8">
      <c r="B42" s="10">
        <f t="shared" si="0"/>
        <v>18</v>
      </c>
      <c r="C42" s="4"/>
      <c r="D42" s="16">
        <f t="shared" si="3"/>
        <v>1425.3087469279433</v>
      </c>
      <c r="E42" s="37">
        <f t="shared" si="4"/>
        <v>-15</v>
      </c>
      <c r="F42" s="15">
        <f t="shared" si="1"/>
        <v>125.427169729659</v>
      </c>
      <c r="G42" s="15">
        <f t="shared" si="2"/>
        <v>110.427169729659</v>
      </c>
      <c r="H42" s="17">
        <f t="shared" si="5"/>
        <v>1046.3705931766463</v>
      </c>
    </row>
    <row r="43" spans="2:8">
      <c r="B43" s="10">
        <f t="shared" si="0"/>
        <v>19</v>
      </c>
      <c r="C43" s="4"/>
      <c r="D43" s="16">
        <f t="shared" si="3"/>
        <v>1421.0328206871595</v>
      </c>
      <c r="E43" s="37">
        <f t="shared" si="4"/>
        <v>-15</v>
      </c>
      <c r="F43" s="15">
        <f t="shared" si="1"/>
        <v>125.05088822047003</v>
      </c>
      <c r="G43" s="15">
        <f t="shared" si="2"/>
        <v>110.05088822047003</v>
      </c>
      <c r="H43" s="17">
        <f t="shared" si="5"/>
        <v>1156.4214813971162</v>
      </c>
    </row>
    <row r="44" spans="2:8" ht="16.2" thickBot="1">
      <c r="B44" s="11">
        <f t="shared" si="0"/>
        <v>20</v>
      </c>
      <c r="C44" s="5"/>
      <c r="D44" s="19">
        <f t="shared" si="3"/>
        <v>1416.7697222250981</v>
      </c>
      <c r="E44" s="38">
        <f t="shared" si="4"/>
        <v>-15</v>
      </c>
      <c r="F44" s="20">
        <f t="shared" si="1"/>
        <v>124.67573555580863</v>
      </c>
      <c r="G44" s="20">
        <f t="shared" si="2"/>
        <v>109.67573555580863</v>
      </c>
      <c r="H44" s="21">
        <f t="shared" si="5"/>
        <v>1266.0972169529248</v>
      </c>
    </row>
    <row r="45" spans="2:8">
      <c r="C45" s="2"/>
      <c r="D45" s="2"/>
    </row>
  </sheetData>
  <mergeCells count="7">
    <mergeCell ref="G23:H23"/>
    <mergeCell ref="B22:B23"/>
    <mergeCell ref="B2:E2"/>
    <mergeCell ref="B4:B7"/>
    <mergeCell ref="B11:B13"/>
    <mergeCell ref="C11:C12"/>
    <mergeCell ref="B17:B20"/>
  </mergeCells>
  <conditionalFormatting sqref="E24:E44">
    <cfRule type="cellIs" dxfId="1" priority="2" operator="greaterThan">
      <formula>0</formula>
    </cfRule>
  </conditionalFormatting>
  <conditionalFormatting sqref="H24 G25:H44">
    <cfRule type="cellIs" dxfId="0" priority="1"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6" baseType="variant">
      <vt:variant>
        <vt:lpstr>Arbeitsblätter</vt:lpstr>
      </vt:variant>
      <vt:variant>
        <vt:i4>11</vt:i4>
      </vt:variant>
      <vt:variant>
        <vt:lpstr>Diagramme</vt:lpstr>
      </vt:variant>
      <vt:variant>
        <vt:i4>1</vt:i4>
      </vt:variant>
      <vt:variant>
        <vt:lpstr>Benannte Bereiche</vt:lpstr>
      </vt:variant>
      <vt:variant>
        <vt:i4>1</vt:i4>
      </vt:variant>
    </vt:vector>
  </HeadingPairs>
  <TitlesOfParts>
    <vt:vector size="13" baseType="lpstr">
      <vt:lpstr>Info</vt:lpstr>
      <vt:lpstr>Inputs&amp;Results</vt:lpstr>
      <vt:lpstr>WACC</vt:lpstr>
      <vt:lpstr>LoanCalculation</vt:lpstr>
      <vt:lpstr>Calculations</vt:lpstr>
      <vt:lpstr>SensitivityLCOE</vt:lpstr>
      <vt:lpstr>SensitivitySystemCost</vt:lpstr>
      <vt:lpstr>SensitivityEnergySalesPrice</vt:lpstr>
      <vt:lpstr>SensitivitySpecificYield</vt:lpstr>
      <vt:lpstr>SensitivityDebtInterest</vt:lpstr>
      <vt:lpstr>Copia </vt:lpstr>
      <vt:lpstr>Payback</vt:lpstr>
      <vt:lpstr>LoanCalculation!Drucktitel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Werner Warmuth</cp:lastModifiedBy>
  <dcterms:created xsi:type="dcterms:W3CDTF">2023-11-09T09:23:00Z</dcterms:created>
  <dcterms:modified xsi:type="dcterms:W3CDTF">2024-03-01T13:16:39Z</dcterms:modified>
</cp:coreProperties>
</file>